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tmp" ContentType="image/p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0.xml" ContentType="application/vnd.openxmlformats-officedocument.drawingml.chartshapes+xml"/>
  <Override PartName="/xl/charts/chart26.xml" ContentType="application/vnd.openxmlformats-officedocument.drawingml.chart+xml"/>
  <Override PartName="/xl/drawings/drawing21.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3.xml" ContentType="application/vnd.openxmlformats-officedocument.drawingml.chartshape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ml.chartshape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ml.chartshapes+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7.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8.xml" ContentType="application/vnd.openxmlformats-officedocument.drawingml.chartshapes+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9.xml" ContentType="application/vnd.openxmlformats-officedocument.drawingml.chartshapes+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0.xml" ContentType="application/vnd.openxmlformats-officedocument.drawingml.chartshape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1.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2.xml" ContentType="application/vnd.openxmlformats-officedocument.drawingml.chartshapes+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4.xml" ContentType="application/vnd.openxmlformats-officedocument.drawingml.chartshapes+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5.xml" ContentType="application/vnd.openxmlformats-officedocument.drawingml.chartshapes+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6.xml" ContentType="application/vnd.openxmlformats-officedocument.drawingml.chartshapes+xml"/>
  <Override PartName="/xl/charts/chart45.xml" ContentType="application/vnd.openxmlformats-officedocument.drawingml.chart+xml"/>
  <Override PartName="/xl/drawings/drawing37.xml" ContentType="application/vnd.openxmlformats-officedocument.drawingml.chartshapes+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ml.chartshapes+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9.xml" ContentType="application/vnd.openxmlformats-officedocument.drawingml.chartshapes+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0.xml" ContentType="application/vnd.openxmlformats-officedocument.drawingml.chartshapes+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1.xml" ContentType="application/vnd.openxmlformats-officedocument.drawingml.chartshapes+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2.xml" ContentType="application/vnd.openxmlformats-officedocument.drawingml.chartshapes+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3.xml" ContentType="application/vnd.openxmlformats-officedocument.drawingml.chartshapes+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4.xml" ContentType="application/vnd.openxmlformats-officedocument.drawing+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ml.chartshapes+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ml.chartshapes+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7.xml" ContentType="application/vnd.openxmlformats-officedocument.drawingml.chartshapes+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8.xml" ContentType="application/vnd.openxmlformats-officedocument.drawingml.chartshapes+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9.xml" ContentType="application/vnd.openxmlformats-officedocument.drawingml.chartshapes+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0.xml" ContentType="application/vnd.openxmlformats-officedocument.drawingml.chartshapes+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1.xml" ContentType="application/vnd.openxmlformats-officedocument.drawingml.chartshapes+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2.xml" ContentType="application/vnd.openxmlformats-officedocument.drawingml.chartshapes+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3.xml" ContentType="application/vnd.openxmlformats-officedocument.drawingml.chartshapes+xml"/>
  <Override PartName="/xl/charts/chart6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4.xml" ContentType="application/vnd.openxmlformats-officedocument.drawingml.chartshapes+xml"/>
  <Override PartName="/xl/charts/chart65.xml" ContentType="application/vnd.openxmlformats-officedocument.drawingml.chart+xml"/>
  <Override PartName="/xl/drawings/drawing55.xml" ContentType="application/vnd.openxmlformats-officedocument.drawingml.chartshapes+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6.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7.xml" ContentType="application/vnd.openxmlformats-officedocument.drawingml.chartshapes+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8.xml" ContentType="application/vnd.openxmlformats-officedocument.drawingml.chartshapes+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9.xml" ContentType="application/vnd.openxmlformats-officedocument.drawingml.chartshapes+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0.xml" ContentType="application/vnd.openxmlformats-officedocument.drawingml.chartshapes+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1.xml" ContentType="application/vnd.openxmlformats-officedocument.drawingml.chartshapes+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2.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style71.xml" ContentType="application/vnd.ms-office.chartstyle+xml"/>
  <Override PartName="/xl/charts/colors71.xml" ContentType="application/vnd.ms-office.chartcolorstyle+xml"/>
  <Override PartName="/xl/charts/chart76.xml" ContentType="application/vnd.openxmlformats-officedocument.drawingml.chart+xml"/>
  <Override PartName="/xl/charts/chart77.xml" ContentType="application/vnd.openxmlformats-officedocument.drawingml.chart+xml"/>
  <Override PartName="/xl/charts/style72.xml" ContentType="application/vnd.ms-office.chartstyle+xml"/>
  <Override PartName="/xl/charts/colors72.xml" ContentType="application/vnd.ms-office.chartcolorstyle+xml"/>
  <Override PartName="/xl/charts/chart7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3.xml" ContentType="application/vnd.openxmlformats-officedocument.drawingml.chartshapes+xml"/>
  <Override PartName="/xl/charts/chart79.xml" ContentType="application/vnd.openxmlformats-officedocument.drawingml.chart+xml"/>
  <Override PartName="/xl/drawings/drawing64.xml" ContentType="application/vnd.openxmlformats-officedocument.drawingml.chartshapes+xml"/>
  <Override PartName="/xl/charts/chart80.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5.xml" ContentType="application/vnd.openxmlformats-officedocument.drawingml.chartshapes+xml"/>
  <Override PartName="/xl/charts/chart81.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1.xml" ContentType="application/vnd.openxmlformats-officedocument.spreadsheetml.table+xml"/>
  <Override PartName="/xl/charts/chart82.xml" ContentType="application/vnd.openxmlformats-officedocument.drawingml.chart+xml"/>
  <Override PartName="/xl/charts/chart83.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8.xml" ContentType="application/vnd.openxmlformats-officedocument.drawingml.chartshapes+xml"/>
  <Override PartName="/xl/charts/chart84.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tables/table2.xml" ContentType="application/vnd.openxmlformats-officedocument.spreadsheetml.table+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tables/table3.xml" ContentType="application/vnd.openxmlformats-officedocument.spreadsheetml.table+xml"/>
  <Override PartName="/xl/charts/chart85.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86.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4.xml" ContentType="application/vnd.openxmlformats-officedocument.spreadsheetml.table+xml"/>
  <Override PartName="/xl/charts/chart87.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6.xml" ContentType="application/vnd.openxmlformats-officedocument.drawingml.chartshapes+xml"/>
  <Override PartName="/xl/charts/chart88.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tables/table5.xml" ContentType="application/vnd.openxmlformats-officedocument.spreadsheetml.table+xml"/>
  <Override PartName="/xl/charts/chart89.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6.xml" ContentType="application/vnd.openxmlformats-officedocument.spreadsheetml.table+xml"/>
  <Override PartName="/xl/charts/chart90.xml" ContentType="application/vnd.openxmlformats-officedocument.drawingml.chart+xml"/>
  <Override PartName="/xl/charts/style83.xml" ContentType="application/vnd.ms-office.chartstyle+xml"/>
  <Override PartName="/xl/charts/colors83.xml" ContentType="application/vnd.ms-office.chartcolorstyle+xml"/>
  <Override PartName="/xl/charts/chart91.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4.xml" ContentType="application/vnd.openxmlformats-officedocument.drawing+xml"/>
  <Override PartName="/xl/tables/table7.xml" ContentType="application/vnd.openxmlformats-officedocument.spreadsheetml.table+xml"/>
  <Override PartName="/xl/charts/chart92.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tables/table8.xml" ContentType="application/vnd.openxmlformats-officedocument.spreadsheetml.table+xml"/>
  <Override PartName="/xl/charts/chart93.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9.xml" ContentType="application/vnd.openxmlformats-officedocument.spreadsheetml.table+xml"/>
  <Override PartName="/xl/charts/chart94.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tables/table10.xml" ContentType="application/vnd.openxmlformats-officedocument.spreadsheetml.table+xml"/>
  <Override PartName="/xl/charts/chart95.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11.xml" ContentType="application/vnd.openxmlformats-officedocument.spreadsheetml.table+xml"/>
  <Override PartName="/xl/charts/chart96.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97.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tables/table12.xml" ContentType="application/vnd.openxmlformats-officedocument.spreadsheetml.table+xml"/>
  <Override PartName="/xl/charts/chart98.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tables/table13.xml" ContentType="application/vnd.openxmlformats-officedocument.spreadsheetml.table+xml"/>
  <Override PartName="/xl/charts/chart99.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tables/table14.xml" ContentType="application/vnd.openxmlformats-officedocument.spreadsheetml.table+xml"/>
  <Override PartName="/xl/charts/chart100.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tables/table15.xml" ContentType="application/vnd.openxmlformats-officedocument.spreadsheetml.table+xml"/>
  <Override PartName="/xl/charts/chart101.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16.xml" ContentType="application/vnd.openxmlformats-officedocument.spreadsheetml.table+xml"/>
  <Override PartName="/xl/charts/chart102.xml" ContentType="application/vnd.openxmlformats-officedocument.drawingml.chart+xml"/>
  <Override PartName="/xl/charts/style94.xml" ContentType="application/vnd.ms-office.chartstyle+xml"/>
  <Override PartName="/xl/charts/colors94.xml" ContentType="application/vnd.ms-office.chartcolorstyle+xml"/>
  <Override PartName="/xl/charts/chart103.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2.xml" ContentType="application/vnd.openxmlformats-officedocument.drawing+xml"/>
  <Override PartName="/xl/tables/table17.xml" ContentType="application/vnd.openxmlformats-officedocument.spreadsheetml.table+xml"/>
  <Override PartName="/xl/charts/chart104.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18.xml" ContentType="application/vnd.openxmlformats-officedocument.spreadsheetml.table+xml"/>
  <Override PartName="/xl/charts/chart105.xml" ContentType="application/vnd.openxmlformats-officedocument.drawingml.chart+xml"/>
  <Override PartName="/xl/charts/style97.xml" ContentType="application/vnd.ms-office.chartstyle+xml"/>
  <Override PartName="/xl/charts/colors97.xml" ContentType="application/vnd.ms-office.chartcolorstyle+xml"/>
  <Override PartName="/xl/charts/chart106.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25.xml" ContentType="application/vnd.openxmlformats-officedocument.drawing+xml"/>
  <Override PartName="/xl/tables/table19.xml" ContentType="application/vnd.openxmlformats-officedocument.spreadsheetml.table+xml"/>
  <Override PartName="/xl/charts/chart107.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26.xml" ContentType="application/vnd.openxmlformats-officedocument.drawingml.chartshapes+xml"/>
  <Override PartName="/xl/charts/chart108.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tables/table20.xml" ContentType="application/vnd.openxmlformats-officedocument.spreadsheetml.table+xml"/>
  <Override PartName="/xl/charts/chart109.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29.xml" ContentType="application/vnd.openxmlformats-officedocument.drawingml.chartshapes+xml"/>
  <Override PartName="/xl/charts/chart110.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tables/table21.xml" ContentType="application/vnd.openxmlformats-officedocument.spreadsheetml.table+xml"/>
  <Override PartName="/xl/charts/chart111.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tables/table22.xml" ContentType="application/vnd.openxmlformats-officedocument.spreadsheetml.table+xml"/>
  <Override PartName="/xl/charts/chart112.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36.xml" ContentType="application/vnd.openxmlformats-officedocument.drawing+xml"/>
  <Override PartName="/xl/tables/table23.xml" ContentType="application/vnd.openxmlformats-officedocument.spreadsheetml.table+xml"/>
  <Override PartName="/xl/charts/chart113.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tables/table24.xml" ContentType="application/vnd.openxmlformats-officedocument.spreadsheetml.table+xml"/>
  <Override PartName="/xl/charts/chart114.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2.xml" ContentType="application/vnd.openxmlformats-officedocument.drawingml.chartshapes+xml"/>
  <Override PartName="/xl/drawings/drawing143.xml" ContentType="application/vnd.openxmlformats-officedocument.drawing+xml"/>
  <Override PartName="/xl/tables/table25.xml" ContentType="application/vnd.openxmlformats-officedocument.spreadsheetml.table+xml"/>
  <Override PartName="/xl/charts/chart115.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4.xml" ContentType="application/vnd.openxmlformats-officedocument.drawing+xml"/>
  <Override PartName="/xl/tables/table26.xml" ContentType="application/vnd.openxmlformats-officedocument.spreadsheetml.table+xml"/>
  <Override PartName="/xl/charts/chart116.xml" ContentType="application/vnd.openxmlformats-officedocument.drawingml.chart+xml"/>
  <Override PartName="/xl/drawings/drawing145.xml" ContentType="application/vnd.openxmlformats-officedocument.drawing+xml"/>
  <Override PartName="/xl/tables/table27.xml" ContentType="application/vnd.openxmlformats-officedocument.spreadsheetml.table+xml"/>
  <Override PartName="/xl/drawings/drawing146.xml" ContentType="application/vnd.openxmlformats-officedocument.drawing+xml"/>
  <Override PartName="/xl/tables/table28.xml" ContentType="application/vnd.openxmlformats-officedocument.spreadsheetml.table+xml"/>
  <Override PartName="/xl/charts/chart117.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tables/table29.xml" ContentType="application/vnd.openxmlformats-officedocument.spreadsheetml.table+xml"/>
  <Override PartName="/xl/charts/chart118.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tables/table30.xml" ContentType="application/vnd.openxmlformats-officedocument.spreadsheetml.table+xml"/>
  <Override PartName="/xl/charts/chart119.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51.xml" ContentType="application/vnd.openxmlformats-officedocument.drawing+xml"/>
  <Override PartName="/xl/tables/table31.xml" ContentType="application/vnd.openxmlformats-officedocument.spreadsheetml.table+xml"/>
  <Override PartName="/xl/charts/chart120.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2.xml" ContentType="application/vnd.openxmlformats-officedocument.drawing+xml"/>
  <Override PartName="/xl/tables/table32.xml" ContentType="application/vnd.openxmlformats-officedocument.spreadsheetml.table+xml"/>
  <Override PartName="/xl/charts/chart121.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3.xml" ContentType="application/vnd.openxmlformats-officedocument.drawing+xml"/>
  <Override PartName="/xl/tables/table33.xml" ContentType="application/vnd.openxmlformats-officedocument.spreadsheetml.table+xml"/>
  <Override PartName="/xl/charts/chart122.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4.xml" ContentType="application/vnd.openxmlformats-officedocument.drawingml.chartshapes+xml"/>
  <Override PartName="/xl/drawings/drawing155.xml" ContentType="application/vnd.openxmlformats-officedocument.drawing+xml"/>
  <Override PartName="/xl/drawings/drawing156.xml" ContentType="application/vnd.openxmlformats-officedocument.drawing+xml"/>
  <Override PartName="/xl/tables/table34.xml" ContentType="application/vnd.openxmlformats-officedocument.spreadsheetml.table+xml"/>
  <Override PartName="/xl/charts/chart123.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tables/table35.xml" ContentType="application/vnd.openxmlformats-officedocument.spreadsheetml.table+xml"/>
  <Override PartName="/xl/charts/chart124.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tables/table36.xml" ContentType="application/vnd.openxmlformats-officedocument.spreadsheetml.table+xml"/>
  <Override PartName="/xl/charts/chart125.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61.xml" ContentType="application/vnd.openxmlformats-officedocument.drawing+xml"/>
  <Override PartName="/xl/tables/table37.xml" ContentType="application/vnd.openxmlformats-officedocument.spreadsheetml.table+xml"/>
  <Override PartName="/xl/charts/chart126.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62.xml" ContentType="application/vnd.openxmlformats-officedocument.drawingml.chartshapes+xml"/>
  <Override PartName="/xl/drawings/drawing163.xml" ContentType="application/vnd.openxmlformats-officedocument.drawing+xml"/>
  <Override PartName="/xl/tables/table38.xml" ContentType="application/vnd.openxmlformats-officedocument.spreadsheetml.table+xml"/>
  <Override PartName="/xl/charts/chart127.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4.xml" ContentType="application/vnd.openxmlformats-officedocument.drawing+xml"/>
  <Override PartName="/xl/tables/table39.xml" ContentType="application/vnd.openxmlformats-officedocument.spreadsheetml.table+xml"/>
  <Override PartName="/xl/charts/chart128.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tables/table40.xml" ContentType="application/vnd.openxmlformats-officedocument.spreadsheetml.table+xml"/>
  <Override PartName="/xl/charts/chart129.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7.xml" ContentType="application/vnd.openxmlformats-officedocument.drawingml.chartshapes+xml"/>
  <Override PartName="/xl/drawings/drawing168.xml" ContentType="application/vnd.openxmlformats-officedocument.drawing+xml"/>
  <Override PartName="/xl/tables/table41.xml" ContentType="application/vnd.openxmlformats-officedocument.spreadsheetml.table+xml"/>
  <Override PartName="/xl/charts/chart130.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9.xml" ContentType="application/vnd.openxmlformats-officedocument.drawing+xml"/>
  <Override PartName="/xl/drawings/drawing170.xml" ContentType="application/vnd.openxmlformats-officedocument.drawing+xml"/>
  <Override PartName="/xl/tables/table42.xml" ContentType="application/vnd.openxmlformats-officedocument.spreadsheetml.table+xml"/>
  <Override PartName="/xl/charts/chart131.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tables/table43.xml" ContentType="application/vnd.openxmlformats-officedocument.spreadsheetml.table+xml"/>
  <Override PartName="/xl/charts/chart132.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77.xml" ContentType="application/vnd.openxmlformats-officedocument.drawing+xml"/>
  <Override PartName="/xl/tables/table44.xml" ContentType="application/vnd.openxmlformats-officedocument.spreadsheetml.table+xml"/>
  <Override PartName="/xl/charts/chart133.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78.xml" ContentType="application/vnd.openxmlformats-officedocument.drawingml.chartshapes+xml"/>
  <Override PartName="/xl/drawings/drawing179.xml" ContentType="application/vnd.openxmlformats-officedocument.drawing+xml"/>
  <Override PartName="/xl/drawings/drawing180.xml" ContentType="application/vnd.openxmlformats-officedocument.drawing+xml"/>
  <Override PartName="/xl/tables/table45.xml" ContentType="application/vnd.openxmlformats-officedocument.spreadsheetml.table+xml"/>
  <Override PartName="/xl/drawings/drawing181.xml" ContentType="application/vnd.openxmlformats-officedocument.drawing+xml"/>
  <Override PartName="/xl/tables/table46.xml" ContentType="application/vnd.openxmlformats-officedocument.spreadsheetml.table+xml"/>
  <Override PartName="/xl/charts/chart134.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82.xml" ContentType="application/vnd.openxmlformats-officedocument.drawing+xml"/>
  <Override PartName="/xl/tables/table47.xml" ContentType="application/vnd.openxmlformats-officedocument.spreadsheetml.table+xml"/>
  <Override PartName="/xl/charts/chart135.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83.xml" ContentType="application/vnd.openxmlformats-officedocument.drawingml.chartshapes+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tables/table48.xml" ContentType="application/vnd.openxmlformats-officedocument.spreadsheetml.table+xml"/>
  <Override PartName="/xl/charts/chart136.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87.xml" ContentType="application/vnd.openxmlformats-officedocument.drawing+xml"/>
  <Override PartName="/xl/tables/table49.xml" ContentType="application/vnd.openxmlformats-officedocument.spreadsheetml.table+xml"/>
  <Override PartName="/xl/charts/chart137.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tables/table50.xml" ContentType="application/vnd.openxmlformats-officedocument.spreadsheetml.table+xml"/>
  <Override PartName="/xl/charts/chart13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90.xml" ContentType="application/vnd.openxmlformats-officedocument.drawingml.chartshapes+xml"/>
  <Override PartName="/xl/drawings/drawing191.xml" ContentType="application/vnd.openxmlformats-officedocument.drawing+xml"/>
  <Override PartName="/xl/tables/table51.xml" ContentType="application/vnd.openxmlformats-officedocument.spreadsheetml.table+xml"/>
  <Override PartName="/xl/charts/chart13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92.xml" ContentType="application/vnd.openxmlformats-officedocument.drawingml.chartshapes+xml"/>
  <Override PartName="/xl/drawings/drawing193.xml" ContentType="application/vnd.openxmlformats-officedocument.drawing+xml"/>
  <Override PartName="/xl/tables/table52.xml" ContentType="application/vnd.openxmlformats-officedocument.spreadsheetml.table+xml"/>
  <Override PartName="/xl/charts/chart140.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tables/table53.xml" ContentType="application/vnd.openxmlformats-officedocument.spreadsheetml.table+xml"/>
  <Override PartName="/xl/charts/chart141.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96.xml" ContentType="application/vnd.openxmlformats-officedocument.drawingml.chartshapes+xml"/>
  <Override PartName="/xl/drawings/drawing197.xml" ContentType="application/vnd.openxmlformats-officedocument.drawing+xml"/>
  <Override PartName="/xl/tables/table54.xml" ContentType="application/vnd.openxmlformats-officedocument.spreadsheetml.table+xml"/>
  <Override PartName="/xl/drawings/drawing198.xml" ContentType="application/vnd.openxmlformats-officedocument.drawing+xml"/>
  <Override PartName="/xl/tables/table55.xml" ContentType="application/vnd.openxmlformats-officedocument.spreadsheetml.table+xml"/>
  <Override PartName="/xl/charts/chart142.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99.xml" ContentType="application/vnd.openxmlformats-officedocument.drawingml.chartshapes+xml"/>
  <Override PartName="/xl/drawings/drawing200.xml" ContentType="application/vnd.openxmlformats-officedocument.drawing+xml"/>
  <Override PartName="/xl/tables/table56.xml" ContentType="application/vnd.openxmlformats-officedocument.spreadsheetml.table+xml"/>
  <Override PartName="/xl/charts/chart143.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44.xml" ContentType="application/vnd.openxmlformats-officedocument.drawingml.chart+xml"/>
  <Override PartName="/xl/charts/style133.xml" ContentType="application/vnd.ms-office.chartstyle+xml"/>
  <Override PartName="/xl/charts/colors13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2"/>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Informe Febrero 2025\Abril 2025\"/>
    </mc:Choice>
  </mc:AlternateContent>
  <xr:revisionPtr revIDLastSave="236" documentId="11_7AE35BB4661F172FA5CC5A05D89EA4C924CA4783" xr6:coauthVersionLast="47" xr6:coauthVersionMax="47" xr10:uidLastSave="{9FF7AA5D-50C1-4094-A243-91F33822C408}"/>
  <bookViews>
    <workbookView xWindow="0" yWindow="0" windowWidth="28800" windowHeight="12300" tabRatio="674" firstSheet="105" activeTab="105" xr2:uid="{00000000-000D-0000-FFFF-FFFF00000000}"/>
  </bookViews>
  <sheets>
    <sheet name="Present.Aprob." sheetId="483" state="hidden" r:id="rId1"/>
    <sheet name="Fecha_publicación " sheetId="474" state="hidden" r:id="rId2"/>
    <sheet name="Present. " sheetId="482" r:id="rId3"/>
    <sheet name="Contenido" sheetId="453" r:id="rId4"/>
    <sheet name="INFOGRAFIA V1" sheetId="479" r:id="rId5"/>
    <sheet name="INFOGRAFIA V2" sheetId="503" r:id="rId6"/>
    <sheet name="INFOGRAFIA V3" sheetId="505" r:id="rId7"/>
    <sheet name="INFOGRAFIA V4" sheetId="506" r:id="rId8"/>
    <sheet name="INFOGRAFIA.GENERO.V1" sheetId="504" r:id="rId9"/>
    <sheet name="Evolucion_Capita" sheetId="481" r:id="rId10"/>
    <sheet name="Evolucion_medicamentos" sheetId="507" r:id="rId11"/>
    <sheet name="SDSS Definiciones_1 " sheetId="245" r:id="rId12"/>
    <sheet name="SDSS Definiciones_2" sheetId="247" r:id="rId13"/>
    <sheet name=" SDSS Definiciones_3" sheetId="246" r:id="rId14"/>
    <sheet name="SDSS Definiciones_4" sheetId="248" r:id="rId15"/>
    <sheet name="I.1. Ley 87-01 (2)" sheetId="372" r:id="rId16"/>
    <sheet name="I.2. Org. SDSS" sheetId="376" r:id="rId17"/>
    <sheet name="I.3. Reg. y Seg." sheetId="313" r:id="rId18"/>
    <sheet name="I.4. Seg. y Ben." sheetId="314" r:id="rId19"/>
    <sheet name="II.SDSS" sheetId="298" r:id="rId20"/>
    <sheet name="II.1. SDSS.Definición" sheetId="329" r:id="rId21"/>
    <sheet name="II.2.Analisis SDSS" sheetId="404" r:id="rId22"/>
    <sheet name="II.3. Empl x sector " sheetId="335" r:id="rId23"/>
    <sheet name=" II.4.Empr x No. de empl" sheetId="336" r:id="rId24"/>
    <sheet name="III.1.SFS" sheetId="327" r:id="rId25"/>
    <sheet name="III.1.1a. Def. Afil. SFS1" sheetId="317" r:id="rId26"/>
    <sheet name="III.1.1b.Def. de Afili. SFS2  " sheetId="330" r:id="rId27"/>
    <sheet name="III.1.2.Analisis SFS" sheetId="405" r:id="rId28"/>
    <sheet name="III.1.3.Afil.SFSPob.Nac." sheetId="333" r:id="rId29"/>
    <sheet name="III.1.4.Afil. SFS" sheetId="489" r:id="rId30"/>
    <sheet name="III.1.5.Afil. SFS x sexo" sheetId="427" r:id="rId31"/>
    <sheet name="III.2. SFS.RC" sheetId="299" r:id="rId32"/>
    <sheet name="III.2.1.Afil. SFS.RC " sheetId="322" r:id="rId33"/>
    <sheet name="III.2.2. Afil. SFS RC Anual " sheetId="402" r:id="rId34"/>
    <sheet name="III.2.3.Afil. SFS RC X sex.tipo" sheetId="434" r:id="rId35"/>
    <sheet name="III.3.SFS.RS" sheetId="294" r:id="rId36"/>
    <sheet name="III.3.1.Analis.Afil. SFS.RS1  " sheetId="323" r:id="rId37"/>
    <sheet name="III.3.2. Afil anual SFS RS " sheetId="342" r:id="rId38"/>
    <sheet name="III.3.3.Afil.SFSRSsex tipo " sheetId="435" r:id="rId39"/>
    <sheet name="III.4.Afil.RET" sheetId="295" r:id="rId40"/>
    <sheet name="III.4.1.Afil.RET1" sheetId="324" r:id="rId41"/>
    <sheet name=" III.4.2.Afil. SFSP Anual." sheetId="377" r:id="rId42"/>
    <sheet name="III.5.SVDS" sheetId="297" r:id="rId43"/>
    <sheet name="III.5.1.Definición Afil. SVDS" sheetId="350" r:id="rId44"/>
    <sheet name="III.5.2.Analisis Afil. SVDS" sheetId="406" r:id="rId45"/>
    <sheet name="III.5.3.Afil. SVDS" sheetId="407" r:id="rId46"/>
    <sheet name="III.5.4.Afil. cotiz." sheetId="374" r:id="rId47"/>
    <sheet name="III.5.5.Cotiz. x rango de edad" sheetId="272" r:id="rId48"/>
    <sheet name="III.5.6.Cotiz x sal. min. cot." sheetId="273" r:id="rId49"/>
    <sheet name="III.5.7.Cot.Afil X Sexo" sheetId="380" r:id="rId50"/>
    <sheet name="III.5.8.Traspasos anual" sheetId="381" r:id="rId51"/>
    <sheet name="III.5.9.Trasp. recibidos" sheetId="382" r:id="rId52"/>
    <sheet name="III.5.10.Trasp. cedidos" sheetId="383" r:id="rId53"/>
    <sheet name="III.5.11.Trasp. netos" sheetId="384" r:id="rId54"/>
    <sheet name="III.6.SRL" sheetId="300" r:id="rId55"/>
    <sheet name="III.6.1.Definición Afil. SRL" sheetId="356" r:id="rId56"/>
    <sheet name="III.6.2.Afil. SRL.RC1 " sheetId="355" r:id="rId57"/>
    <sheet name="III.6.3.Afil. SRL" sheetId="385" r:id="rId58"/>
    <sheet name="III.6.4.Afil. SRL x sexoy edad" sheetId="386" r:id="rId59"/>
    <sheet name="III.6.6.ID. Accidentabilidad" sheetId="389" r:id="rId60"/>
    <sheet name="IV.1a.Definición Ing.Gastos)" sheetId="363" r:id="rId61"/>
    <sheet name="IV.1b.Definición Ing.Gastos" sheetId="371" r:id="rId62"/>
    <sheet name="IV. ING._ EGR" sheetId="361" r:id="rId63"/>
    <sheet name="IV.1.2. Analisis Ing.Egr" sheetId="408" r:id="rId64"/>
    <sheet name="Resumen " sheetId="491" r:id="rId65"/>
    <sheet name="IV.1.3. Ingr y egr SDSS" sheetId="449" r:id="rId66"/>
    <sheet name="IV.1.4. Recaudo x sector" sheetId="400" r:id="rId67"/>
    <sheet name="IV.1.5 Rec. x origen" sheetId="401" state="hidden" r:id="rId68"/>
    <sheet name="IV.2.1 AnálisisIng.Egr.Seg" sheetId="441" r:id="rId69"/>
    <sheet name="IV.2.2. Pagos SFS A" sheetId="391" r:id="rId70"/>
    <sheet name="IV.2.4.Pagos x ARS" sheetId="450" r:id="rId71"/>
    <sheet name="IV.2.7.INV_SFS x Entidad" sheetId="179" r:id="rId72"/>
    <sheet name="IV.2.8.INV_SFS x cuentas" sheetId="177" r:id="rId73"/>
    <sheet name="IV.2.9.Aport. GOB. y Pagos RS" sheetId="72" r:id="rId74"/>
    <sheet name="IV.2.10 Pagos.SFS Pens." sheetId="447" r:id="rId75"/>
    <sheet name="IV.3.1.AnálisisIng.Eg.SVDS" sheetId="442" r:id="rId76"/>
    <sheet name="IV.3.2.Pagos_ SVDS" sheetId="276" r:id="rId77"/>
    <sheet name="IV.3.3.Pagos anuales x cuentas" sheetId="29" r:id="rId78"/>
    <sheet name="IV.3.4.Pago Entidades" sheetId="444" r:id="rId79"/>
    <sheet name="IV.3.5.Patrim. fp anual" sheetId="283" r:id="rId80"/>
    <sheet name="IV.3.6.Cartera de inv fp" sheetId="486" r:id="rId81"/>
    <sheet name="IV.3.7. Rent. nom. de los FP" sheetId="394" r:id="rId82"/>
    <sheet name="IV.3.8.Rentab.Real" sheetId="395" r:id="rId83"/>
    <sheet name="IV.3.9 Cartera Comp." sheetId="490" r:id="rId84"/>
    <sheet name="IV.4.1. Analisis " sheetId="443" r:id="rId85"/>
    <sheet name="IV.4.2.Pagos ARL A" sheetId="78" r:id="rId86"/>
    <sheet name="V.BENEFICIOS" sheetId="362" r:id="rId87"/>
    <sheet name="V.1.1 SUBSIDIO_SFS" sheetId="364" r:id="rId88"/>
    <sheet name="V.1.2.SUBSIDIO_SFS Def." sheetId="437" r:id="rId89"/>
    <sheet name="V.2.1.Análisis" sheetId="438" r:id="rId90"/>
    <sheet name=" V.2.2.Benef. subsid " sheetId="397" r:id="rId91"/>
    <sheet name="V.2.3. Monto subsid." sheetId="396" r:id="rId92"/>
    <sheet name="V.3.PENSIONES_SVDS" sheetId="365" r:id="rId93"/>
    <sheet name="V.3.1. Def-Análisis pens." sheetId="440" r:id="rId94"/>
    <sheet name="V.3.2 Pensiones por año" sheetId="282" r:id="rId95"/>
    <sheet name="V.3.3.Pens.Disc. AFP" sheetId="308" r:id="rId96"/>
    <sheet name="V.4.SOLIC_BEN_ARL" sheetId="366" r:id="rId97"/>
    <sheet name="V.4.1.Def-Analisis   " sheetId="415" r:id="rId98"/>
    <sheet name="V.4.2.NA. Reportes ARL" sheetId="215" r:id="rId99"/>
    <sheet name="V.4.3. NA.Cant. accid x región" sheetId="217" r:id="rId100"/>
    <sheet name="V.4.4.NA.Cant. accid x Prov" sheetId="452" r:id="rId101"/>
    <sheet name="V.4.5. NA.Cant. accid x sector" sheetId="222" r:id="rId102"/>
    <sheet name="V.4.6. Accid x sexo" sheetId="224" r:id="rId103"/>
    <sheet name="V.4.7. Accid x rango de edad" sheetId="226" r:id="rId104"/>
    <sheet name="VI.1. Analisis CBSS" sheetId="457" r:id="rId105"/>
    <sheet name="VII.2.CBSS-Tramit." sheetId="459" r:id="rId106"/>
    <sheet name="VII.3.CBSS-Benef" sheetId="465" r:id="rId107"/>
    <sheet name="Hoja2" sheetId="508" r:id="rId108"/>
    <sheet name="Hoja3" sheetId="509" r:id="rId109"/>
    <sheet name="Hoja1" sheetId="484" state="hidden" r:id="rId110"/>
  </sheets>
  <externalReferences>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M" localSheetId="9">#REF!</definedName>
    <definedName name="\M" localSheetId="10">#REF!</definedName>
    <definedName name="\M" localSheetId="29">#REF!</definedName>
    <definedName name="\M" localSheetId="5">#REF!</definedName>
    <definedName name="\M" localSheetId="6">#REF!</definedName>
    <definedName name="\M" localSheetId="7">#REF!</definedName>
    <definedName name="\M" localSheetId="80">#REF!</definedName>
    <definedName name="\M" localSheetId="83">#REF!</definedName>
    <definedName name="\M" localSheetId="0">#REF!</definedName>
    <definedName name="\M" localSheetId="64">#REF!</definedName>
    <definedName name="\M">#REF!</definedName>
    <definedName name="\N" localSheetId="9">#REF!</definedName>
    <definedName name="\N" localSheetId="10">#REF!</definedName>
    <definedName name="\N" localSheetId="29">#REF!</definedName>
    <definedName name="\N" localSheetId="5">#REF!</definedName>
    <definedName name="\N" localSheetId="6">#REF!</definedName>
    <definedName name="\N" localSheetId="7">#REF!</definedName>
    <definedName name="\N" localSheetId="80">#REF!</definedName>
    <definedName name="\N" localSheetId="83">#REF!</definedName>
    <definedName name="\N" localSheetId="0">#REF!</definedName>
    <definedName name="\N" localSheetId="64">#REF!</definedName>
    <definedName name="\N">#REF!</definedName>
    <definedName name="_xlnm._FilterDatabase" localSheetId="34" hidden="1">'III.2.3.Afil. SFS RC X sex.tipo'!$A$4:$H$23</definedName>
    <definedName name="_xlnm._FilterDatabase" localSheetId="38" hidden="1">'III.3.3.Afil.SFSRSsex tipo '!$B$4:$G$23</definedName>
    <definedName name="_xlnm._FilterDatabase" localSheetId="70" hidden="1">'IV.2.4.Pagos x ARS'!$B$4:$F$55</definedName>
    <definedName name="_xlnm._FilterDatabase" localSheetId="81" hidden="1">'IV.3.7. Rent. nom. de los FP'!$A$5:$C$41</definedName>
    <definedName name="AAA" localSheetId="9">#REF!</definedName>
    <definedName name="AAA" localSheetId="10">#REF!</definedName>
    <definedName name="AAA" localSheetId="29">#REF!</definedName>
    <definedName name="AAA" localSheetId="5">#REF!</definedName>
    <definedName name="AAA" localSheetId="6">#REF!</definedName>
    <definedName name="AAA" localSheetId="7">#REF!</definedName>
    <definedName name="AAA" localSheetId="80">#REF!</definedName>
    <definedName name="AAA" localSheetId="83">#REF!</definedName>
    <definedName name="AAA" localSheetId="0">#REF!</definedName>
    <definedName name="AAA" localSheetId="64">#REF!</definedName>
    <definedName name="AAA">#REF!</definedName>
    <definedName name="Afil" localSheetId="9">'[1]7.7.6'!#REF!</definedName>
    <definedName name="Afil" localSheetId="10">'[1]7.7.6'!#REF!</definedName>
    <definedName name="Afil" localSheetId="1">'[1]7.7.6'!#REF!</definedName>
    <definedName name="Afil" localSheetId="15">'[1]7.7.6'!#REF!</definedName>
    <definedName name="Afil" localSheetId="21">'[1]7.7.6'!#REF!</definedName>
    <definedName name="Afil" localSheetId="27">'[1]7.7.6'!#REF!</definedName>
    <definedName name="Afil" localSheetId="29">'[1]7.7.6'!#REF!</definedName>
    <definedName name="Afil" localSheetId="30">'[1]7.7.6'!#REF!</definedName>
    <definedName name="Afil" localSheetId="34">'[1]7.7.6'!#REF!</definedName>
    <definedName name="Afil" localSheetId="38">'[1]7.7.6'!#REF!</definedName>
    <definedName name="Afil" localSheetId="44">'[1]7.7.6'!#REF!</definedName>
    <definedName name="Afil" localSheetId="5">'[1]7.7.6'!#REF!</definedName>
    <definedName name="Afil" localSheetId="6">'[1]7.7.6'!#REF!</definedName>
    <definedName name="Afil" localSheetId="7">'[1]7.7.6'!#REF!</definedName>
    <definedName name="Afil" localSheetId="63">'[1]7.7.6'!#REF!</definedName>
    <definedName name="Afil" localSheetId="65">'[1]7.7.6'!#REF!</definedName>
    <definedName name="Afil" localSheetId="61">'[1]7.7.6'!#REF!</definedName>
    <definedName name="Afil" localSheetId="80">'[1]7.7.6'!#REF!</definedName>
    <definedName name="Afil" localSheetId="83">'[1]7.7.6'!#REF!</definedName>
    <definedName name="Afil" localSheetId="0">'[1]7.7.6'!#REF!</definedName>
    <definedName name="Afil" localSheetId="64">'[1]7.7.6'!#REF!</definedName>
    <definedName name="Afil" localSheetId="88">'[1]7.7.6'!#REF!</definedName>
    <definedName name="Afil" localSheetId="104">'[1]7.7.6'!#REF!</definedName>
    <definedName name="Afil" localSheetId="105">'[1]7.7.6'!#REF!</definedName>
    <definedName name="Afil" localSheetId="106">'[1]7.7.6'!#REF!</definedName>
    <definedName name="Afil">'[1]7.7.6'!#REF!</definedName>
    <definedName name="Afiliacion2" localSheetId="9">'[1]7.7.6'!#REF!</definedName>
    <definedName name="Afiliacion2" localSheetId="10">'[1]7.7.6'!#REF!</definedName>
    <definedName name="Afiliacion2" localSheetId="1">'[1]7.7.6'!#REF!</definedName>
    <definedName name="Afiliacion2" localSheetId="29">'[1]7.7.6'!#REF!</definedName>
    <definedName name="Afiliacion2" localSheetId="5">'[1]7.7.6'!#REF!</definedName>
    <definedName name="Afiliacion2" localSheetId="6">'[1]7.7.6'!#REF!</definedName>
    <definedName name="Afiliacion2" localSheetId="7">'[1]7.7.6'!#REF!</definedName>
    <definedName name="Afiliacion2" localSheetId="65">'[1]7.7.6'!#REF!</definedName>
    <definedName name="Afiliacion2" localSheetId="80">'[1]7.7.6'!#REF!</definedName>
    <definedName name="Afiliacion2" localSheetId="83">'[1]7.7.6'!#REF!</definedName>
    <definedName name="Afiliacion2" localSheetId="0">'[1]7.7.6'!#REF!</definedName>
    <definedName name="Afiliacion2" localSheetId="64">'[1]7.7.6'!#REF!</definedName>
    <definedName name="Afiliacion2" localSheetId="88">'[1]7.7.6'!#REF!</definedName>
    <definedName name="Afiliacion2" localSheetId="104">'[1]7.7.6'!#REF!</definedName>
    <definedName name="Afiliacion2" localSheetId="105">'[1]7.7.6'!#REF!</definedName>
    <definedName name="Afiliacion2" localSheetId="106">'[1]7.7.6'!#REF!</definedName>
    <definedName name="Afiliacion2">'[1]7.7.6'!#REF!</definedName>
    <definedName name="AfiliadoSexo" localSheetId="10">#REF!</definedName>
    <definedName name="AfiliadoSexo" localSheetId="6">#REF!</definedName>
    <definedName name="AfiliadoSexo" localSheetId="7">#REF!</definedName>
    <definedName name="AfiliadoSexo">#REF!</definedName>
    <definedName name="Analisis" localSheetId="9">'[1]7.7.6'!#REF!</definedName>
    <definedName name="Analisis" localSheetId="10">'[1]7.7.6'!#REF!</definedName>
    <definedName name="Analisis" localSheetId="1">'[1]7.7.6'!#REF!</definedName>
    <definedName name="Analisis" localSheetId="29">'[1]7.7.6'!#REF!</definedName>
    <definedName name="Analisis" localSheetId="30">'[1]7.7.6'!#REF!</definedName>
    <definedName name="Analisis" localSheetId="34">'[1]7.7.6'!#REF!</definedName>
    <definedName name="Analisis" localSheetId="38">'[1]7.7.6'!#REF!</definedName>
    <definedName name="Analisis" localSheetId="5">'[1]7.7.6'!#REF!</definedName>
    <definedName name="Analisis" localSheetId="6">'[1]7.7.6'!#REF!</definedName>
    <definedName name="Analisis" localSheetId="7">'[1]7.7.6'!#REF!</definedName>
    <definedName name="Analisis" localSheetId="63">'[1]7.7.6'!#REF!</definedName>
    <definedName name="Analisis" localSheetId="65">'[1]7.7.6'!#REF!</definedName>
    <definedName name="Analisis" localSheetId="80">'[1]7.7.6'!#REF!</definedName>
    <definedName name="Analisis" localSheetId="83">'[1]7.7.6'!#REF!</definedName>
    <definedName name="Analisis" localSheetId="0">'[1]7.7.6'!#REF!</definedName>
    <definedName name="Analisis" localSheetId="64">'[1]7.7.6'!#REF!</definedName>
    <definedName name="Analisis" localSheetId="88">'[1]7.7.6'!#REF!</definedName>
    <definedName name="Analisis" localSheetId="104">'[1]7.7.6'!#REF!</definedName>
    <definedName name="Analisis" localSheetId="105">'[1]7.7.6'!#REF!</definedName>
    <definedName name="Analisis" localSheetId="106">'[1]7.7.6'!#REF!</definedName>
    <definedName name="Analisis">'[1]7.7.6'!#REF!</definedName>
    <definedName name="_xlnm.Print_Area" localSheetId="23">' II.4.Empr x No. de empl'!$A$1:$I$60</definedName>
    <definedName name="_xlnm.Print_Area" localSheetId="41">' III.4.2.Afil. SFSP Anual.'!$A$1:$G$52</definedName>
    <definedName name="_xlnm.Print_Area" localSheetId="13">' SDSS Definiciones_3'!$A$1:$K$20</definedName>
    <definedName name="_xlnm.Print_Area" localSheetId="90">' V.2.2.Benef. subsid '!$A$1:$I$37</definedName>
    <definedName name="_xlnm.Print_Area" localSheetId="3">Contenido!$A$1:$A$157</definedName>
    <definedName name="_xlnm.Print_Area" localSheetId="9">Evolucion_Capita!$A$1:$H$84</definedName>
    <definedName name="_xlnm.Print_Area" localSheetId="10">Evolucion_medicamentos!$A$1:$H$39</definedName>
    <definedName name="_xlnm.Print_Area" localSheetId="1">'Fecha_publicación '!$A$1:$D$43</definedName>
    <definedName name="_xlnm.Print_Area" localSheetId="107">Hoja2!$A$1:$O$38</definedName>
    <definedName name="_xlnm.Print_Area" localSheetId="15">'I.1. Ley 87-01 (2)'!$A$1:$L$47</definedName>
    <definedName name="_xlnm.Print_Area" localSheetId="16">'I.2. Org. SDSS'!$A$1:$M$64</definedName>
    <definedName name="_xlnm.Print_Area" localSheetId="17">'I.3. Reg. y Seg.'!$A$1:$Q$57</definedName>
    <definedName name="_xlnm.Print_Area" localSheetId="18">'I.4. Seg. y Ben.'!$A$1:$M$39</definedName>
    <definedName name="_xlnm.Print_Area" localSheetId="20">'II.1. SDSS.Definición'!$A$1:$N$48</definedName>
    <definedName name="_xlnm.Print_Area" localSheetId="21">'II.2.Analisis SDSS'!$A$1:$J$37</definedName>
    <definedName name="_xlnm.Print_Area" localSheetId="22">'II.3. Empl x sector '!$A$1:$L$40</definedName>
    <definedName name="_xlnm.Print_Area" localSheetId="19">II.SDSS!$A$1:$M$45</definedName>
    <definedName name="_xlnm.Print_Area" localSheetId="25">'III.1.1a. Def. Afil. SFS1'!$A$1:$M$43</definedName>
    <definedName name="_xlnm.Print_Area" localSheetId="26">'III.1.1b.Def. de Afili. SFS2  '!$A$1:$M$43</definedName>
    <definedName name="_xlnm.Print_Area" localSheetId="27">'III.1.2.Analisis SFS'!$A$1:$L$56</definedName>
    <definedName name="_xlnm.Print_Area" localSheetId="28">'III.1.3.Afil.SFSPob.Nac.'!$A$1:$J$60</definedName>
    <definedName name="_xlnm.Print_Area" localSheetId="29">'III.1.4.Afil. SFS'!$A$1:$K$41</definedName>
    <definedName name="_xlnm.Print_Area" localSheetId="30">'III.1.5.Afil. SFS x sexo'!$A$1:$S$38</definedName>
    <definedName name="_xlnm.Print_Area" localSheetId="24">'III.1.SFS'!$A$1:$M$45</definedName>
    <definedName name="_xlnm.Print_Area" localSheetId="31">'III.2. SFS.RC'!$A$1:$K$45</definedName>
    <definedName name="_xlnm.Print_Area" localSheetId="32">'III.2.1.Afil. SFS.RC '!$A$1:$K$41</definedName>
    <definedName name="_xlnm.Print_Area" localSheetId="33">'III.2.2. Afil. SFS RC Anual '!$A$1:$J$59</definedName>
    <definedName name="_xlnm.Print_Area" localSheetId="34">'III.2.3.Afil. SFS RC X sex.tipo'!$A$1:$L$43</definedName>
    <definedName name="_xlnm.Print_Area" localSheetId="36">'III.3.1.Analis.Afil. SFS.RS1  '!$A$1:$J$41</definedName>
    <definedName name="_xlnm.Print_Area" localSheetId="37">'III.3.2. Afil anual SFS RS '!$B$1:$M$53</definedName>
    <definedName name="_xlnm.Print_Area" localSheetId="38">'III.3.3.Afil.SFSRSsex tipo '!$B$1:$J$51</definedName>
    <definedName name="_xlnm.Print_Area" localSheetId="35">'III.3.SFS.RS'!$A$1:$M$39</definedName>
    <definedName name="_xlnm.Print_Area" localSheetId="40">'III.4.1.Afil.RET1'!$A$1:$L$33</definedName>
    <definedName name="_xlnm.Print_Area" localSheetId="39">'III.4.Afil.RET'!$A$1:$M$45</definedName>
    <definedName name="_xlnm.Print_Area" localSheetId="43">'III.5.1.Definición Afil. SVDS'!$A$1:$M$46</definedName>
    <definedName name="_xlnm.Print_Area" localSheetId="52">'III.5.10.Trasp. cedidos'!$A$1:$O$57</definedName>
    <definedName name="_xlnm.Print_Area" localSheetId="53">'III.5.11.Trasp. netos'!$A$1:$P$61</definedName>
    <definedName name="_xlnm.Print_Area" localSheetId="44">'III.5.2.Analisis Afil. SVDS'!$A$1:$I$42</definedName>
    <definedName name="_xlnm.Print_Area" localSheetId="45">'III.5.3.Afil. SVDS'!$A$1:$L$69</definedName>
    <definedName name="_xlnm.Print_Area" localSheetId="46">'III.5.4.Afil. cotiz.'!$A$1:$N$69</definedName>
    <definedName name="_xlnm.Print_Area" localSheetId="47">'III.5.5.Cotiz. x rango de edad'!$A$1:$H$40</definedName>
    <definedName name="_xlnm.Print_Area" localSheetId="48">'III.5.6.Cotiz x sal. min. cot.'!$A$1:$I$38</definedName>
    <definedName name="_xlnm.Print_Area" localSheetId="49">'III.5.7.Cot.Afil X Sexo'!$A$1:$M$70</definedName>
    <definedName name="_xlnm.Print_Area" localSheetId="50">'III.5.8.Traspasos anual'!$A$1:$Q$53</definedName>
    <definedName name="_xlnm.Print_Area" localSheetId="51">'III.5.9.Trasp. recibidos'!$A$1:$O$70</definedName>
    <definedName name="_xlnm.Print_Area" localSheetId="42">'III.5.SVDS'!$A$1:$P$53</definedName>
    <definedName name="_xlnm.Print_Area" localSheetId="55">'III.6.1.Definición Afil. SRL'!$A$1:$M$49</definedName>
    <definedName name="_xlnm.Print_Area" localSheetId="56">'III.6.2.Afil. SRL.RC1 '!$A$1:$G$26</definedName>
    <definedName name="_xlnm.Print_Area" localSheetId="57">'III.6.3.Afil. SRL'!$A$1:$L$80</definedName>
    <definedName name="_xlnm.Print_Area" localSheetId="58">'III.6.4.Afil. SRL x sexoy edad'!$A$1:$K$70</definedName>
    <definedName name="_xlnm.Print_Area" localSheetId="59">'III.6.6.ID. Accidentabilidad'!$A$1:$M$61</definedName>
    <definedName name="_xlnm.Print_Area" localSheetId="54">'III.6.SRL'!$A$1:$L$34</definedName>
    <definedName name="_xlnm.Print_Area" localSheetId="4">'INFOGRAFIA V1'!$A$1:$M$275</definedName>
    <definedName name="_xlnm.Print_Area" localSheetId="5">'INFOGRAFIA V2'!$A$1:$M$107</definedName>
    <definedName name="_xlnm.Print_Area" localSheetId="6">'INFOGRAFIA V3'!$A$1:$M$103</definedName>
    <definedName name="_xlnm.Print_Area" localSheetId="7">'INFOGRAFIA V4'!$A$1:$M$117</definedName>
    <definedName name="_xlnm.Print_Area" localSheetId="8">'INFOGRAFIA.GENERO.V1'!$A$1:$S$106</definedName>
    <definedName name="_xlnm.Print_Area" localSheetId="62">'IV. ING._ EGR'!$A$1:$L$34</definedName>
    <definedName name="_xlnm.Print_Area" localSheetId="63">'IV.1.2. Analisis Ing.Egr'!$A$1:$L$40</definedName>
    <definedName name="_xlnm.Print_Area" localSheetId="65">'IV.1.3. Ingr y egr SDSS'!$A$1:$K$72</definedName>
    <definedName name="_xlnm.Print_Area" localSheetId="66">'IV.1.4. Recaudo x sector'!$A$1:$G$34</definedName>
    <definedName name="_xlnm.Print_Area" localSheetId="67">'IV.1.5 Rec. x origen'!$A$1:$I$53</definedName>
    <definedName name="_xlnm.Print_Area" localSheetId="60">'IV.1a.Definición Ing.Gastos)'!$A$1:$P$67</definedName>
    <definedName name="_xlnm.Print_Area" localSheetId="61">'IV.1b.Definición Ing.Gastos'!$A$1:$M$35</definedName>
    <definedName name="_xlnm.Print_Area" localSheetId="68">'IV.2.1 AnálisisIng.Egr.Seg'!$A$1:$L$50</definedName>
    <definedName name="_xlnm.Print_Area" localSheetId="74">'IV.2.10 Pagos.SFS Pens.'!$A$1:$J$46</definedName>
    <definedName name="_xlnm.Print_Area" localSheetId="69">'IV.2.2. Pagos SFS A'!$A$1:$M$46</definedName>
    <definedName name="_xlnm.Print_Area" localSheetId="70">'IV.2.4.Pagos x ARS'!$A$1:$J$73</definedName>
    <definedName name="_xlnm.Print_Area" localSheetId="71">'IV.2.7.INV_SFS x Entidad'!$A$1:$D$44</definedName>
    <definedName name="_xlnm.Print_Area" localSheetId="72">'IV.2.8.INV_SFS x cuentas'!$A$1:$E$49</definedName>
    <definedName name="_xlnm.Print_Area" localSheetId="73">'IV.2.9.Aport. GOB. y Pagos RS'!$A$1:$K$68</definedName>
    <definedName name="_xlnm.Print_Area" localSheetId="75">'IV.3.1.AnálisisIng.Eg.SVDS'!$A$1:$J$52</definedName>
    <definedName name="_xlnm.Print_Area" localSheetId="76">'IV.3.2.Pagos_ SVDS'!$A$1:$I$64</definedName>
    <definedName name="_xlnm.Print_Area" localSheetId="77">'IV.3.3.Pagos anuales x cuentas'!$A$1:$H$51</definedName>
    <definedName name="_xlnm.Print_Area" localSheetId="78">'IV.3.4.Pago Entidades'!$A$1:$H$71</definedName>
    <definedName name="_xlnm.Print_Area" localSheetId="79">'IV.3.5.Patrim. fp anual'!$A$1:$I$41</definedName>
    <definedName name="_xlnm.Print_Area" localSheetId="80">'IV.3.6.Cartera de inv fp'!$A$1:$E$51</definedName>
    <definedName name="_xlnm.Print_Area" localSheetId="81">'IV.3.7. Rent. nom. de los FP'!$A$1:$L$84</definedName>
    <definedName name="_xlnm.Print_Area" localSheetId="82">'IV.3.8.Rentab.Real'!$A$1:$M$72</definedName>
    <definedName name="_xlnm.Print_Area" localSheetId="83">'IV.3.9 Cartera Comp.'!$A$1:$D$52</definedName>
    <definedName name="_xlnm.Print_Area" localSheetId="84">'IV.4.1. Analisis '!$A$1:$H$19</definedName>
    <definedName name="_xlnm.Print_Area" localSheetId="85">'IV.4.2.Pagos ARL A'!$A$1:$K$63</definedName>
    <definedName name="_xlnm.Print_Area" localSheetId="2">'Present. '!$A$1:$K$89</definedName>
    <definedName name="_xlnm.Print_Area" localSheetId="0">'Present.Aprob.'!$A$1:$K$35</definedName>
    <definedName name="_xlnm.Print_Area" localSheetId="64">'Resumen '!$A$1:$M$106</definedName>
    <definedName name="_xlnm.Print_Area" localSheetId="11">'SDSS Definiciones_1 '!$A$1:$L$49</definedName>
    <definedName name="_xlnm.Print_Area" localSheetId="12">'SDSS Definiciones_2'!$A$1:$K$8</definedName>
    <definedName name="_xlnm.Print_Area" localSheetId="14">'SDSS Definiciones_4'!$A$1:$N$12</definedName>
    <definedName name="_xlnm.Print_Area" localSheetId="87">'V.1.1 SUBSIDIO_SFS'!$A$1:$P$42</definedName>
    <definedName name="_xlnm.Print_Area" localSheetId="88">'V.1.2.SUBSIDIO_SFS Def.'!$A$1:$O$46</definedName>
    <definedName name="_xlnm.Print_Area" localSheetId="89">'V.2.1.Análisis'!$A$1:$L$31</definedName>
    <definedName name="_xlnm.Print_Area" localSheetId="91">'V.2.3. Monto subsid.'!$A$1:$J$42</definedName>
    <definedName name="_xlnm.Print_Area" localSheetId="93">'V.3.1. Def-Análisis pens.'!$A$1:$L$31</definedName>
    <definedName name="_xlnm.Print_Area" localSheetId="94">'V.3.2 Pensiones por año'!$A$1:$K$72</definedName>
    <definedName name="_xlnm.Print_Area" localSheetId="95">'V.3.3.Pens.Disc. AFP'!$A$1:$J$52</definedName>
    <definedName name="_xlnm.Print_Area" localSheetId="92">'V.3.PENSIONES_SVDS'!$A$1:$L$38</definedName>
    <definedName name="_xlnm.Print_Area" localSheetId="97">'V.4.1.Def-Analisis   '!$A$1:$J$41</definedName>
    <definedName name="_xlnm.Print_Area" localSheetId="98">'V.4.2.NA. Reportes ARL'!$A$1:$J$60</definedName>
    <definedName name="_xlnm.Print_Area" localSheetId="99">'V.4.3. NA.Cant. accid x región'!$A$1:$R$66</definedName>
    <definedName name="_xlnm.Print_Area" localSheetId="100">'V.4.4.NA.Cant. accid x Prov'!$A$1:$J$81</definedName>
    <definedName name="_xlnm.Print_Area" localSheetId="101">'V.4.5. NA.Cant. accid x sector'!$A$1:$I$57</definedName>
    <definedName name="_xlnm.Print_Area" localSheetId="102">'V.4.6. Accid x sexo'!$A$1:$I$55</definedName>
    <definedName name="_xlnm.Print_Area" localSheetId="103">'V.4.7. Accid x rango de edad'!$A$1:$M$63</definedName>
    <definedName name="_xlnm.Print_Area" localSheetId="96">'V.4.SOLIC_BEN_ARL'!$A$1:$M$41</definedName>
    <definedName name="_xlnm.Print_Area" localSheetId="86">V.BENEFICIOS!$A$1:$L$34</definedName>
    <definedName name="_xlnm.Print_Area" localSheetId="104">'VI.1. Analisis CBSS'!$A$1:$J$38</definedName>
    <definedName name="_xlnm.Print_Area" localSheetId="105">'VII.2.CBSS-Tramit.'!$A$1:$I$32</definedName>
    <definedName name="_xlnm.Print_Area" localSheetId="106">'VII.3.CBSS-Benef'!$A$1:$H$45</definedName>
    <definedName name="Área_de_impresión1">'[1]7.7.6'!$A$1:$AQ$58</definedName>
    <definedName name="Área_de_impresión2" localSheetId="9">'[1]7.7.6'!#REF!</definedName>
    <definedName name="Área_de_impresión2" localSheetId="10">'[1]7.7.6'!#REF!</definedName>
    <definedName name="Área_de_impresión2" localSheetId="1">'[1]7.7.6'!#REF!</definedName>
    <definedName name="Área_de_impresión2" localSheetId="15">'[1]7.7.6'!#REF!</definedName>
    <definedName name="Área_de_impresión2" localSheetId="21">'[1]7.7.6'!#REF!</definedName>
    <definedName name="Área_de_impresión2" localSheetId="27">'[1]7.7.6'!#REF!</definedName>
    <definedName name="Área_de_impresión2" localSheetId="29">'[1]7.7.6'!#REF!</definedName>
    <definedName name="Área_de_impresión2" localSheetId="30">'[1]7.7.6'!#REF!</definedName>
    <definedName name="Área_de_impresión2" localSheetId="34">'[1]7.7.6'!#REF!</definedName>
    <definedName name="Área_de_impresión2" localSheetId="38">'[1]7.7.6'!#REF!</definedName>
    <definedName name="Área_de_impresión2" localSheetId="43">'[1]7.7.6'!#REF!</definedName>
    <definedName name="Área_de_impresión2" localSheetId="44">'[1]7.7.6'!#REF!</definedName>
    <definedName name="Área_de_impresión2" localSheetId="55">'[1]7.7.6'!#REF!</definedName>
    <definedName name="Área_de_impresión2" localSheetId="56">'[1]7.7.6'!#REF!</definedName>
    <definedName name="Área_de_impresión2" localSheetId="5">'[1]7.7.6'!#REF!</definedName>
    <definedName name="Área_de_impresión2" localSheetId="6">'[1]7.7.6'!#REF!</definedName>
    <definedName name="Área_de_impresión2" localSheetId="7">'[1]7.7.6'!#REF!</definedName>
    <definedName name="Área_de_impresión2" localSheetId="62">'[1]7.7.6'!#REF!</definedName>
    <definedName name="Área_de_impresión2" localSheetId="63">'[1]7.7.6'!#REF!</definedName>
    <definedName name="Área_de_impresión2" localSheetId="65">'[1]7.7.6'!#REF!</definedName>
    <definedName name="Área_de_impresión2" localSheetId="60">'[1]7.7.6'!#REF!</definedName>
    <definedName name="Área_de_impresión2" localSheetId="61">'[1]7.7.6'!#REF!</definedName>
    <definedName name="Área_de_impresión2" localSheetId="78">'[1]7.7.6'!#REF!</definedName>
    <definedName name="Área_de_impresión2" localSheetId="80">'[1]7.7.6'!#REF!</definedName>
    <definedName name="Área_de_impresión2" localSheetId="83">'[1]7.7.6'!#REF!</definedName>
    <definedName name="Área_de_impresión2" localSheetId="0">'[1]7.7.6'!#REF!</definedName>
    <definedName name="Área_de_impresión2" localSheetId="64">'[1]7.7.6'!#REF!</definedName>
    <definedName name="Área_de_impresión2" localSheetId="87">'[1]7.7.6'!#REF!</definedName>
    <definedName name="Área_de_impresión2" localSheetId="88">'[1]7.7.6'!#REF!</definedName>
    <definedName name="Área_de_impresión2" localSheetId="92">'[1]7.7.6'!#REF!</definedName>
    <definedName name="Área_de_impresión2" localSheetId="96">'[1]7.7.6'!#REF!</definedName>
    <definedName name="Área_de_impresión2" localSheetId="86">'[1]7.7.6'!#REF!</definedName>
    <definedName name="Área_de_impresión2" localSheetId="104">'[1]7.7.6'!#REF!</definedName>
    <definedName name="Área_de_impresión2" localSheetId="105">'[1]7.7.6'!#REF!</definedName>
    <definedName name="Área_de_impresión2" localSheetId="106">'[1]7.7.6'!#REF!</definedName>
    <definedName name="Área_de_impresión2">'[1]7.7.6'!#REF!</definedName>
    <definedName name="Author" hidden="1">"Andoni Rdgz Elcano www.TodoExcel.com"</definedName>
    <definedName name="BEN" localSheetId="9">'[1]7.7.6'!#REF!</definedName>
    <definedName name="BEN" localSheetId="10">'[1]7.7.6'!#REF!</definedName>
    <definedName name="BEN" localSheetId="1">'[1]7.7.6'!#REF!</definedName>
    <definedName name="BEN" localSheetId="15">'[1]7.7.6'!#REF!</definedName>
    <definedName name="BEN" localSheetId="21">'[1]7.7.6'!#REF!</definedName>
    <definedName name="BEN" localSheetId="27">'[1]7.7.6'!#REF!</definedName>
    <definedName name="BEN" localSheetId="29">'[1]7.7.6'!#REF!</definedName>
    <definedName name="BEN" localSheetId="30">'[1]7.7.6'!#REF!</definedName>
    <definedName name="BEN" localSheetId="34">'[1]7.7.6'!#REF!</definedName>
    <definedName name="BEN" localSheetId="38">'[1]7.7.6'!#REF!</definedName>
    <definedName name="BEN" localSheetId="44">'[1]7.7.6'!#REF!</definedName>
    <definedName name="BEN" localSheetId="5">'[1]7.7.6'!#REF!</definedName>
    <definedName name="BEN" localSheetId="6">'[1]7.7.6'!#REF!</definedName>
    <definedName name="BEN" localSheetId="7">'[1]7.7.6'!#REF!</definedName>
    <definedName name="BEN" localSheetId="63">'[1]7.7.6'!#REF!</definedName>
    <definedName name="BEN" localSheetId="65">'[1]7.7.6'!#REF!</definedName>
    <definedName name="BEN" localSheetId="61">'[1]7.7.6'!#REF!</definedName>
    <definedName name="BEN" localSheetId="80">'[1]7.7.6'!#REF!</definedName>
    <definedName name="BEN" localSheetId="83">'[1]7.7.6'!#REF!</definedName>
    <definedName name="BEN" localSheetId="0">'[1]7.7.6'!#REF!</definedName>
    <definedName name="BEN" localSheetId="64">'[1]7.7.6'!#REF!</definedName>
    <definedName name="BEN" localSheetId="88">'[1]7.7.6'!#REF!</definedName>
    <definedName name="BEN" localSheetId="104">'[1]7.7.6'!#REF!</definedName>
    <definedName name="BEN" localSheetId="105">'[1]7.7.6'!#REF!</definedName>
    <definedName name="BEN" localSheetId="106">'[1]7.7.6'!#REF!</definedName>
    <definedName name="BEN">'[1]7.7.6'!#REF!</definedName>
    <definedName name="Beneficios" localSheetId="9">'[1]7.7.6'!#REF!</definedName>
    <definedName name="Beneficios" localSheetId="10">'[1]7.7.6'!#REF!</definedName>
    <definedName name="Beneficios" localSheetId="1">'[1]7.7.6'!#REF!</definedName>
    <definedName name="Beneficios" localSheetId="15">'[1]7.7.6'!#REF!</definedName>
    <definedName name="Beneficios" localSheetId="21">'[1]7.7.6'!#REF!</definedName>
    <definedName name="Beneficios" localSheetId="27">'[1]7.7.6'!#REF!</definedName>
    <definedName name="Beneficios" localSheetId="29">'[1]7.7.6'!#REF!</definedName>
    <definedName name="Beneficios" localSheetId="30">'[1]7.7.6'!#REF!</definedName>
    <definedName name="Beneficios" localSheetId="34">'[1]7.7.6'!#REF!</definedName>
    <definedName name="Beneficios" localSheetId="38">'[1]7.7.6'!#REF!</definedName>
    <definedName name="Beneficios" localSheetId="44">'[1]7.7.6'!#REF!</definedName>
    <definedName name="Beneficios" localSheetId="5">'[1]7.7.6'!#REF!</definedName>
    <definedName name="Beneficios" localSheetId="6">'[1]7.7.6'!#REF!</definedName>
    <definedName name="Beneficios" localSheetId="7">'[1]7.7.6'!#REF!</definedName>
    <definedName name="Beneficios" localSheetId="63">'[1]7.7.6'!#REF!</definedName>
    <definedName name="Beneficios" localSheetId="65">'[1]7.7.6'!#REF!</definedName>
    <definedName name="Beneficios" localSheetId="60">'[1]7.7.6'!#REF!</definedName>
    <definedName name="Beneficios" localSheetId="61">'[1]7.7.6'!#REF!</definedName>
    <definedName name="Beneficios" localSheetId="80">'[1]7.7.6'!#REF!</definedName>
    <definedName name="Beneficios" localSheetId="83">'[1]7.7.6'!#REF!</definedName>
    <definedName name="Beneficios" localSheetId="0">'[1]7.7.6'!#REF!</definedName>
    <definedName name="Beneficios" localSheetId="64">'[1]7.7.6'!#REF!</definedName>
    <definedName name="Beneficios" localSheetId="87">'[1]7.7.6'!#REF!</definedName>
    <definedName name="Beneficios" localSheetId="88">'[1]7.7.6'!#REF!</definedName>
    <definedName name="Beneficios" localSheetId="92">'[1]7.7.6'!#REF!</definedName>
    <definedName name="Beneficios" localSheetId="96">'[1]7.7.6'!#REF!</definedName>
    <definedName name="Beneficios" localSheetId="104">'[1]7.7.6'!#REF!</definedName>
    <definedName name="Beneficios" localSheetId="105">'[1]7.7.6'!#REF!</definedName>
    <definedName name="Beneficios" localSheetId="106">'[1]7.7.6'!#REF!</definedName>
    <definedName name="Beneficios">'[1]7.7.6'!#REF!</definedName>
    <definedName name="Calculos.SVDS" localSheetId="9">'[1]7.7.6'!#REF!</definedName>
    <definedName name="Calculos.SVDS" localSheetId="10">'[1]7.7.6'!#REF!</definedName>
    <definedName name="Calculos.SVDS" localSheetId="29">'[1]7.7.6'!#REF!</definedName>
    <definedName name="Calculos.SVDS" localSheetId="5">'[1]7.7.6'!#REF!</definedName>
    <definedName name="Calculos.SVDS" localSheetId="6">'[1]7.7.6'!#REF!</definedName>
    <definedName name="Calculos.SVDS" localSheetId="7">'[1]7.7.6'!#REF!</definedName>
    <definedName name="Calculos.SVDS" localSheetId="80">'[1]7.7.6'!#REF!</definedName>
    <definedName name="Calculos.SVDS" localSheetId="83">'[1]7.7.6'!#REF!</definedName>
    <definedName name="Calculos.SVDS" localSheetId="0">'[1]7.7.6'!#REF!</definedName>
    <definedName name="Calculos.SVDS" localSheetId="64">'[1]7.7.6'!#REF!</definedName>
    <definedName name="Calculos.SVDS">'[1]7.7.6'!#REF!</definedName>
    <definedName name="CCI">'[1]7.7.6'!$A$1:$R$57</definedName>
    <definedName name="CompCartraEntid" localSheetId="9">'[1]7.7.6'!#REF!</definedName>
    <definedName name="CompCartraEntid" localSheetId="10">'[1]7.7.6'!#REF!</definedName>
    <definedName name="CompCartraEntid" localSheetId="1">'[1]7.7.6'!#REF!</definedName>
    <definedName name="CompCartraEntid" localSheetId="29">'[1]7.7.6'!#REF!</definedName>
    <definedName name="CompCartraEntid" localSheetId="5">'[1]7.7.6'!#REF!</definedName>
    <definedName name="CompCartraEntid" localSheetId="6">'[1]7.7.6'!#REF!</definedName>
    <definedName name="CompCartraEntid" localSheetId="7">'[1]7.7.6'!#REF!</definedName>
    <definedName name="CompCartraEntid" localSheetId="65">'[1]7.7.6'!#REF!</definedName>
    <definedName name="CompCartraEntid" localSheetId="80">'[1]7.7.6'!#REF!</definedName>
    <definedName name="CompCartraEntid" localSheetId="83">'[1]7.7.6'!#REF!</definedName>
    <definedName name="CompCartraEntid" localSheetId="0">'[1]7.7.6'!#REF!</definedName>
    <definedName name="CompCartraEntid" localSheetId="64">'[1]7.7.6'!#REF!</definedName>
    <definedName name="CompCartraEntid" localSheetId="100">'[1]7.7.6'!#REF!</definedName>
    <definedName name="CompCartraEntid" localSheetId="104">'[1]7.7.6'!#REF!</definedName>
    <definedName name="CompCartraEntid" localSheetId="105">'[1]7.7.6'!#REF!</definedName>
    <definedName name="CompCartraEntid" localSheetId="106">'[1]7.7.6'!#REF!</definedName>
    <definedName name="CompCartraEntid">'[1]7.7.6'!#REF!</definedName>
    <definedName name="Compl">'[1]7.7.6'!$AA$1:$AJ$57</definedName>
    <definedName name="cono" localSheetId="9">#REF!</definedName>
    <definedName name="cono" localSheetId="10">#REF!</definedName>
    <definedName name="cono" localSheetId="29">#REF!</definedName>
    <definedName name="cono" localSheetId="5">#REF!</definedName>
    <definedName name="cono" localSheetId="6">#REF!</definedName>
    <definedName name="cono" localSheetId="7">#REF!</definedName>
    <definedName name="cono" localSheetId="80">#REF!</definedName>
    <definedName name="cono" localSheetId="83">#REF!</definedName>
    <definedName name="cono" localSheetId="0">#REF!</definedName>
    <definedName name="cono" localSheetId="64">#REF!</definedName>
    <definedName name="cono">#REF!</definedName>
    <definedName name="cualquiercosa" localSheetId="9">'[1]7.7.6'!#REF!</definedName>
    <definedName name="cualquiercosa" localSheetId="10">'[1]7.7.6'!#REF!</definedName>
    <definedName name="cualquiercosa" localSheetId="1">'[1]7.7.6'!#REF!</definedName>
    <definedName name="cualquiercosa" localSheetId="29">'[1]7.7.6'!#REF!</definedName>
    <definedName name="cualquiercosa" localSheetId="5">'[1]7.7.6'!#REF!</definedName>
    <definedName name="cualquiercosa" localSheetId="6">'[1]7.7.6'!#REF!</definedName>
    <definedName name="cualquiercosa" localSheetId="7">'[1]7.7.6'!#REF!</definedName>
    <definedName name="cualquiercosa" localSheetId="65">'[1]7.7.6'!#REF!</definedName>
    <definedName name="cualquiercosa" localSheetId="83">'[1]7.7.6'!#REF!</definedName>
    <definedName name="cualquiercosa" localSheetId="0">'[1]7.7.6'!#REF!</definedName>
    <definedName name="cualquiercosa" localSheetId="64">'[1]7.7.6'!#REF!</definedName>
    <definedName name="cualquiercosa" localSheetId="100">'[1]7.7.6'!#REF!</definedName>
    <definedName name="cualquiercosa" localSheetId="104">'[1]7.7.6'!#REF!</definedName>
    <definedName name="cualquiercosa" localSheetId="105">'[1]7.7.6'!#REF!</definedName>
    <definedName name="cualquiercosa" localSheetId="106">'[1]7.7.6'!#REF!</definedName>
    <definedName name="cualquiercosa">'[1]7.7.6'!#REF!</definedName>
    <definedName name="cualquiercosa3" localSheetId="9">'[1]7.7.6'!#REF!</definedName>
    <definedName name="cualquiercosa3" localSheetId="10">'[1]7.7.6'!#REF!</definedName>
    <definedName name="cualquiercosa3" localSheetId="1">'[1]7.7.6'!#REF!</definedName>
    <definedName name="cualquiercosa3" localSheetId="29">'[1]7.7.6'!#REF!</definedName>
    <definedName name="cualquiercosa3" localSheetId="5">'[1]7.7.6'!#REF!</definedName>
    <definedName name="cualquiercosa3" localSheetId="6">'[1]7.7.6'!#REF!</definedName>
    <definedName name="cualquiercosa3" localSheetId="7">'[1]7.7.6'!#REF!</definedName>
    <definedName name="cualquiercosa3" localSheetId="65">'[1]7.7.6'!#REF!</definedName>
    <definedName name="cualquiercosa3" localSheetId="83">'[1]7.7.6'!#REF!</definedName>
    <definedName name="cualquiercosa3" localSheetId="0">'[1]7.7.6'!#REF!</definedName>
    <definedName name="cualquiercosa3" localSheetId="64">'[1]7.7.6'!#REF!</definedName>
    <definedName name="cualquiercosa3" localSheetId="104">'[1]7.7.6'!#REF!</definedName>
    <definedName name="cualquiercosa3" localSheetId="105">'[1]7.7.6'!#REF!</definedName>
    <definedName name="cualquiercosa3" localSheetId="106">'[1]7.7.6'!#REF!</definedName>
    <definedName name="cualquiercosa3">'[1]7.7.6'!#REF!</definedName>
    <definedName name="cualquiercosa5" localSheetId="9">'[1]7.7.6'!#REF!</definedName>
    <definedName name="cualquiercosa5" localSheetId="10">'[1]7.7.6'!#REF!</definedName>
    <definedName name="cualquiercosa5" localSheetId="1">'[1]7.7.6'!#REF!</definedName>
    <definedName name="cualquiercosa5" localSheetId="29">'[1]7.7.6'!#REF!</definedName>
    <definedName name="cualquiercosa5" localSheetId="5">'[1]7.7.6'!#REF!</definedName>
    <definedName name="cualquiercosa5" localSheetId="6">'[1]7.7.6'!#REF!</definedName>
    <definedName name="cualquiercosa5" localSheetId="7">'[1]7.7.6'!#REF!</definedName>
    <definedName name="cualquiercosa5" localSheetId="65">'[1]7.7.6'!#REF!</definedName>
    <definedName name="cualquiercosa5" localSheetId="83">'[1]7.7.6'!#REF!</definedName>
    <definedName name="cualquiercosa5" localSheetId="0">'[1]7.7.6'!#REF!</definedName>
    <definedName name="cualquiercosa5" localSheetId="64">'[1]7.7.6'!#REF!</definedName>
    <definedName name="cualquiercosa5" localSheetId="104">'[1]7.7.6'!#REF!</definedName>
    <definedName name="cualquiercosa5" localSheetId="105">'[1]7.7.6'!#REF!</definedName>
    <definedName name="cualquiercosa5" localSheetId="106">'[1]7.7.6'!#REF!</definedName>
    <definedName name="cualquiercosa5">'[1]7.7.6'!#REF!</definedName>
    <definedName name="cualquiercosa6" localSheetId="9">'[1]7.7.6'!#REF!</definedName>
    <definedName name="cualquiercosa6" localSheetId="10">'[1]7.7.6'!#REF!</definedName>
    <definedName name="cualquiercosa6" localSheetId="1">'[1]7.7.6'!#REF!</definedName>
    <definedName name="cualquiercosa6" localSheetId="29">'[1]7.7.6'!#REF!</definedName>
    <definedName name="cualquiercosa6" localSheetId="5">'[1]7.7.6'!#REF!</definedName>
    <definedName name="cualquiercosa6" localSheetId="6">'[1]7.7.6'!#REF!</definedName>
    <definedName name="cualquiercosa6" localSheetId="7">'[1]7.7.6'!#REF!</definedName>
    <definedName name="cualquiercosa6" localSheetId="65">'[1]7.7.6'!#REF!</definedName>
    <definedName name="cualquiercosa6" localSheetId="83">'[1]7.7.6'!#REF!</definedName>
    <definedName name="cualquiercosa6" localSheetId="0">'[1]7.7.6'!#REF!</definedName>
    <definedName name="cualquiercosa6" localSheetId="64">'[1]7.7.6'!#REF!</definedName>
    <definedName name="cualquiercosa6" localSheetId="104">'[1]7.7.6'!#REF!</definedName>
    <definedName name="cualquiercosa6" localSheetId="105">'[1]7.7.6'!#REF!</definedName>
    <definedName name="cualquiercosa6" localSheetId="106">'[1]7.7.6'!#REF!</definedName>
    <definedName name="cualquiercosa6">'[1]7.7.6'!#REF!</definedName>
    <definedName name="DD">'[2]Dias Festivos'!$A$4</definedName>
    <definedName name="DiasFestivos" localSheetId="9">OFFSET(DD,1,0,COUNTA('[2]Dias Festivos'!$A:$A)-COUNTA('[2]Dias Festivos'!$A$1:DD),1)</definedName>
    <definedName name="DiasFestivos" localSheetId="10">OFFSET([3]!DD,1,0,COUNTA('[2]Dias Festivos'!$A:$A)-COUNTA('[2]Dias Festivos'!$A$1:[3]!DD),1)</definedName>
    <definedName name="DiasFestivos" localSheetId="29">OFFSET(DD,1,0,COUNTA('[2]Dias Festivos'!$A:$A)-COUNTA('[2]Dias Festivos'!$A$1:DD),1)</definedName>
    <definedName name="DiasFestivos" localSheetId="80">OFFSET(DD,1,0,COUNTA('[2]Dias Festivos'!$A:$A)-COUNTA('[2]Dias Festivos'!$A$1:DD),1)</definedName>
    <definedName name="DiasFestivos" localSheetId="2">OFFSET(DD,1,0,COUNTA('[2]Dias Festivos'!$A:$A)-COUNTA('[2]Dias Festivos'!$A$1:DD),1)</definedName>
    <definedName name="DiasFestivos" localSheetId="0">OFFSET(DD,1,0,COUNTA('[2]Dias Festivos'!$A:$A)-COUNTA('[2]Dias Festivos'!$A$1:DD),1)</definedName>
    <definedName name="DiasFestivos" localSheetId="64">OFFSET(DD,1,0,COUNTA('[2]Dias Festivos'!$A:$A)-COUNTA('[2]Dias Festivos'!$A$1:DD),1)</definedName>
    <definedName name="DiasFestivos">OFFSET(DD,1,0,COUNTA('[2]Dias Festivos'!$A:$A)-COUNTA('[2]Dias Festivos'!$A$1:DD),1)</definedName>
    <definedName name="e" localSheetId="9">#REF!</definedName>
    <definedName name="e" localSheetId="10">#REF!</definedName>
    <definedName name="e" localSheetId="29">#REF!</definedName>
    <definedName name="e" localSheetId="5">#REF!</definedName>
    <definedName name="e" localSheetId="6">#REF!</definedName>
    <definedName name="e" localSheetId="7">#REF!</definedName>
    <definedName name="e" localSheetId="80">#REF!</definedName>
    <definedName name="e" localSheetId="83">#REF!</definedName>
    <definedName name="e" localSheetId="64">#REF!</definedName>
    <definedName name="e">#REF!</definedName>
    <definedName name="Egresos" localSheetId="9">'[1]7.7.6'!#REF!</definedName>
    <definedName name="Egresos" localSheetId="10">'[1]7.7.6'!#REF!</definedName>
    <definedName name="Egresos" localSheetId="1">'[1]7.7.6'!#REF!</definedName>
    <definedName name="Egresos" localSheetId="15">'[1]7.7.6'!#REF!</definedName>
    <definedName name="Egresos" localSheetId="21">'[1]7.7.6'!#REF!</definedName>
    <definedName name="Egresos" localSheetId="27">'[1]7.7.6'!#REF!</definedName>
    <definedName name="Egresos" localSheetId="29">'[1]7.7.6'!#REF!</definedName>
    <definedName name="Egresos" localSheetId="30">'[1]7.7.6'!#REF!</definedName>
    <definedName name="Egresos" localSheetId="34">'[1]7.7.6'!#REF!</definedName>
    <definedName name="Egresos" localSheetId="38">'[1]7.7.6'!#REF!</definedName>
    <definedName name="Egresos" localSheetId="44">'[1]7.7.6'!#REF!</definedName>
    <definedName name="Egresos" localSheetId="5">'[1]7.7.6'!#REF!</definedName>
    <definedName name="Egresos" localSheetId="6">'[1]7.7.6'!#REF!</definedName>
    <definedName name="Egresos" localSheetId="7">'[1]7.7.6'!#REF!</definedName>
    <definedName name="Egresos" localSheetId="63">'[1]7.7.6'!#REF!</definedName>
    <definedName name="Egresos" localSheetId="65">'[1]7.7.6'!#REF!</definedName>
    <definedName name="Egresos" localSheetId="80">'[1]7.7.6'!#REF!</definedName>
    <definedName name="Egresos" localSheetId="83">'[1]7.7.6'!#REF!</definedName>
    <definedName name="Egresos" localSheetId="0">'[1]7.7.6'!#REF!</definedName>
    <definedName name="Egresos" localSheetId="64">'[1]7.7.6'!#REF!</definedName>
    <definedName name="Egresos" localSheetId="88">'[1]7.7.6'!#REF!</definedName>
    <definedName name="Egresos" localSheetId="104">'[1]7.7.6'!#REF!</definedName>
    <definedName name="Egresos" localSheetId="105">'[1]7.7.6'!#REF!</definedName>
    <definedName name="Egresos" localSheetId="106">'[1]7.7.6'!#REF!</definedName>
    <definedName name="Egresos">'[1]7.7.6'!#REF!</definedName>
    <definedName name="excel" localSheetId="9">#REF!</definedName>
    <definedName name="excel" localSheetId="10">#REF!</definedName>
    <definedName name="excel" localSheetId="29">#REF!</definedName>
    <definedName name="excel" localSheetId="5">#REF!</definedName>
    <definedName name="excel" localSheetId="6">#REF!</definedName>
    <definedName name="excel" localSheetId="7">#REF!</definedName>
    <definedName name="excel" localSheetId="80">#REF!</definedName>
    <definedName name="excel" localSheetId="83">#REF!</definedName>
    <definedName name="excel" localSheetId="64">#REF!</definedName>
    <definedName name="excel">#REF!</definedName>
    <definedName name="Exceso1" localSheetId="9">'[1]7.7.6'!#REF!</definedName>
    <definedName name="Exceso1" localSheetId="10">'[1]7.7.6'!#REF!</definedName>
    <definedName name="Exceso1" localSheetId="1">'[1]7.7.6'!#REF!</definedName>
    <definedName name="Exceso1" localSheetId="15">'[1]7.7.6'!#REF!</definedName>
    <definedName name="Exceso1" localSheetId="21">'[1]7.7.6'!#REF!</definedName>
    <definedName name="Exceso1" localSheetId="27">'[1]7.7.6'!#REF!</definedName>
    <definedName name="Exceso1" localSheetId="29">'[1]7.7.6'!#REF!</definedName>
    <definedName name="Exceso1" localSheetId="30">'[1]7.7.6'!#REF!</definedName>
    <definedName name="Exceso1" localSheetId="34">'[1]7.7.6'!#REF!</definedName>
    <definedName name="Exceso1" localSheetId="38">'[1]7.7.6'!#REF!</definedName>
    <definedName name="Exceso1" localSheetId="43">'[1]7.7.6'!#REF!</definedName>
    <definedName name="Exceso1" localSheetId="44">'[1]7.7.6'!#REF!</definedName>
    <definedName name="Exceso1" localSheetId="55">'[1]7.7.6'!#REF!</definedName>
    <definedName name="Exceso1" localSheetId="56">'[1]7.7.6'!#REF!</definedName>
    <definedName name="Exceso1" localSheetId="5">'[1]7.7.6'!#REF!</definedName>
    <definedName name="Exceso1" localSheetId="6">'[1]7.7.6'!#REF!</definedName>
    <definedName name="Exceso1" localSheetId="7">'[1]7.7.6'!#REF!</definedName>
    <definedName name="Exceso1" localSheetId="62">'[1]7.7.6'!#REF!</definedName>
    <definedName name="Exceso1" localSheetId="63">'[1]7.7.6'!#REF!</definedName>
    <definedName name="Exceso1" localSheetId="65">'[1]7.7.6'!#REF!</definedName>
    <definedName name="Exceso1" localSheetId="60">'[1]7.7.6'!#REF!</definedName>
    <definedName name="Exceso1" localSheetId="61">'[1]7.7.6'!#REF!</definedName>
    <definedName name="Exceso1" localSheetId="78">'[1]7.7.6'!#REF!</definedName>
    <definedName name="Exceso1" localSheetId="80">'[1]7.7.6'!#REF!</definedName>
    <definedName name="Exceso1" localSheetId="83">'[1]7.7.6'!#REF!</definedName>
    <definedName name="Exceso1" localSheetId="0">'[1]7.7.6'!#REF!</definedName>
    <definedName name="Exceso1" localSheetId="64">'[1]7.7.6'!#REF!</definedName>
    <definedName name="Exceso1" localSheetId="87">'[1]7.7.6'!#REF!</definedName>
    <definedName name="Exceso1" localSheetId="88">'[1]7.7.6'!#REF!</definedName>
    <definedName name="Exceso1" localSheetId="92">'[1]7.7.6'!#REF!</definedName>
    <definedName name="Exceso1" localSheetId="96">'[1]7.7.6'!#REF!</definedName>
    <definedName name="Exceso1" localSheetId="86">'[1]7.7.6'!#REF!</definedName>
    <definedName name="Exceso1" localSheetId="104">'[1]7.7.6'!#REF!</definedName>
    <definedName name="Exceso1" localSheetId="105">'[1]7.7.6'!#REF!</definedName>
    <definedName name="Exceso1" localSheetId="106">'[1]7.7.6'!#REF!</definedName>
    <definedName name="Exceso1">'[1]7.7.6'!#REF!</definedName>
    <definedName name="Exceso2" localSheetId="9">'[1]7.7.6'!#REF!</definedName>
    <definedName name="Exceso2" localSheetId="10">'[1]7.7.6'!#REF!</definedName>
    <definedName name="Exceso2" localSheetId="1">'[1]7.7.6'!#REF!</definedName>
    <definedName name="Exceso2" localSheetId="15">'[1]7.7.6'!#REF!</definedName>
    <definedName name="Exceso2" localSheetId="21">'[1]7.7.6'!#REF!</definedName>
    <definedName name="Exceso2" localSheetId="27">'[1]7.7.6'!#REF!</definedName>
    <definedName name="Exceso2" localSheetId="29">'[1]7.7.6'!#REF!</definedName>
    <definedName name="Exceso2" localSheetId="30">'[1]7.7.6'!#REF!</definedName>
    <definedName name="Exceso2" localSheetId="34">'[1]7.7.6'!#REF!</definedName>
    <definedName name="Exceso2" localSheetId="38">'[1]7.7.6'!#REF!</definedName>
    <definedName name="Exceso2" localSheetId="43">'[1]7.7.6'!#REF!</definedName>
    <definedName name="Exceso2" localSheetId="44">'[1]7.7.6'!#REF!</definedName>
    <definedName name="Exceso2" localSheetId="55">'[1]7.7.6'!#REF!</definedName>
    <definedName name="Exceso2" localSheetId="56">'[1]7.7.6'!#REF!</definedName>
    <definedName name="Exceso2" localSheetId="5">'[1]7.7.6'!#REF!</definedName>
    <definedName name="Exceso2" localSheetId="6">'[1]7.7.6'!#REF!</definedName>
    <definedName name="Exceso2" localSheetId="7">'[1]7.7.6'!#REF!</definedName>
    <definedName name="Exceso2" localSheetId="62">'[1]7.7.6'!#REF!</definedName>
    <definedName name="Exceso2" localSheetId="63">'[1]7.7.6'!#REF!</definedName>
    <definedName name="Exceso2" localSheetId="65">'[1]7.7.6'!#REF!</definedName>
    <definedName name="Exceso2" localSheetId="60">'[1]7.7.6'!#REF!</definedName>
    <definedName name="Exceso2" localSheetId="61">'[1]7.7.6'!#REF!</definedName>
    <definedName name="Exceso2" localSheetId="78">'[1]7.7.6'!#REF!</definedName>
    <definedName name="Exceso2" localSheetId="80">'[1]7.7.6'!#REF!</definedName>
    <definedName name="Exceso2" localSheetId="83">'[1]7.7.6'!#REF!</definedName>
    <definedName name="Exceso2" localSheetId="0">'[1]7.7.6'!#REF!</definedName>
    <definedName name="Exceso2" localSheetId="64">'[1]7.7.6'!#REF!</definedName>
    <definedName name="Exceso2" localSheetId="87">'[1]7.7.6'!#REF!</definedName>
    <definedName name="Exceso2" localSheetId="88">'[1]7.7.6'!#REF!</definedName>
    <definedName name="Exceso2" localSheetId="92">'[1]7.7.6'!#REF!</definedName>
    <definedName name="Exceso2" localSheetId="96">'[1]7.7.6'!#REF!</definedName>
    <definedName name="Exceso2" localSheetId="86">'[1]7.7.6'!#REF!</definedName>
    <definedName name="Exceso2" localSheetId="104">'[1]7.7.6'!#REF!</definedName>
    <definedName name="Exceso2" localSheetId="105">'[1]7.7.6'!#REF!</definedName>
    <definedName name="Exceso2" localSheetId="106">'[1]7.7.6'!#REF!</definedName>
    <definedName name="Exceso2">'[1]7.7.6'!#REF!</definedName>
    <definedName name="h">'[1]7.7.6'!$A$1:$AQ$58</definedName>
    <definedName name="INDICEPRECIO" localSheetId="9">#REF!</definedName>
    <definedName name="INDICEPRECIO" localSheetId="10">#REF!</definedName>
    <definedName name="INDICEPRECIO" localSheetId="29">#REF!</definedName>
    <definedName name="INDICEPRECIO" localSheetId="5">#REF!</definedName>
    <definedName name="INDICEPRECIO" localSheetId="6">#REF!</definedName>
    <definedName name="INDICEPRECIO" localSheetId="7">#REF!</definedName>
    <definedName name="INDICEPRECIO" localSheetId="80">#REF!</definedName>
    <definedName name="INDICEPRECIO" localSheetId="83">#REF!</definedName>
    <definedName name="INDICEPRECIO" localSheetId="0">#REF!</definedName>
    <definedName name="INDICEPRECIO" localSheetId="64">#REF!</definedName>
    <definedName name="INDICEPRECIO">#REF!</definedName>
    <definedName name="INDICEPRECIOSA" localSheetId="9">#REF!</definedName>
    <definedName name="INDICEPRECIOSA" localSheetId="10">#REF!</definedName>
    <definedName name="INDICEPRECIOSA" localSheetId="29">#REF!</definedName>
    <definedName name="INDICEPRECIOSA" localSheetId="5">#REF!</definedName>
    <definedName name="INDICEPRECIOSA" localSheetId="6">#REF!</definedName>
    <definedName name="INDICEPRECIOSA" localSheetId="7">#REF!</definedName>
    <definedName name="INDICEPRECIOSA" localSheetId="80">#REF!</definedName>
    <definedName name="INDICEPRECIOSA" localSheetId="83">#REF!</definedName>
    <definedName name="INDICEPRECIOSA" localSheetId="0">#REF!</definedName>
    <definedName name="INDICEPRECIOSA" localSheetId="64">#REF!</definedName>
    <definedName name="INDICEPRECIOSA">#REF!</definedName>
    <definedName name="INDICEVOLUMEN" localSheetId="9">#REF!</definedName>
    <definedName name="INDICEVOLUMEN" localSheetId="10">#REF!</definedName>
    <definedName name="INDICEVOLUMEN" localSheetId="29">#REF!</definedName>
    <definedName name="INDICEVOLUMEN" localSheetId="5">#REF!</definedName>
    <definedName name="INDICEVOLUMEN" localSheetId="6">#REF!</definedName>
    <definedName name="INDICEVOLUMEN" localSheetId="7">#REF!</definedName>
    <definedName name="INDICEVOLUMEN" localSheetId="80">#REF!</definedName>
    <definedName name="INDICEVOLUMEN" localSheetId="83">#REF!</definedName>
    <definedName name="INDICEVOLUMEN" localSheetId="0">#REF!</definedName>
    <definedName name="INDICEVOLUMEN" localSheetId="64">#REF!</definedName>
    <definedName name="INDICEVOLUMEN">#REF!</definedName>
    <definedName name="INDICEVOLUMENSA" localSheetId="9">#REF!</definedName>
    <definedName name="INDICEVOLUMENSA" localSheetId="10">#REF!</definedName>
    <definedName name="INDICEVOLUMENSA" localSheetId="29">#REF!</definedName>
    <definedName name="INDICEVOLUMENSA" localSheetId="5">#REF!</definedName>
    <definedName name="INDICEVOLUMENSA" localSheetId="6">#REF!</definedName>
    <definedName name="INDICEVOLUMENSA" localSheetId="7">#REF!</definedName>
    <definedName name="INDICEVOLUMENSA" localSheetId="83">#REF!</definedName>
    <definedName name="INDICEVOLUMENSA" localSheetId="0">#REF!</definedName>
    <definedName name="INDICEVOLUMENSA" localSheetId="64">#REF!</definedName>
    <definedName name="INDICEVOLUMENSA">#REF!</definedName>
    <definedName name="Interval" localSheetId="9">'[4]Office Work Schedule'!#REF!</definedName>
    <definedName name="Interval" localSheetId="10">'[4]Office Work Schedule'!#REF!</definedName>
    <definedName name="Interval" localSheetId="29">'[4]Office Work Schedule'!#REF!</definedName>
    <definedName name="Interval" localSheetId="5">'[4]Office Work Schedule'!#REF!</definedName>
    <definedName name="Interval" localSheetId="6">'[4]Office Work Schedule'!#REF!</definedName>
    <definedName name="Interval" localSheetId="7">'[4]Office Work Schedule'!#REF!</definedName>
    <definedName name="Interval" localSheetId="83">'[4]Office Work Schedule'!#REF!</definedName>
    <definedName name="Interval" localSheetId="0">'[4]Office Work Schedule'!#REF!</definedName>
    <definedName name="Interval" localSheetId="64">'[4]Office Work Schedule'!#REF!</definedName>
    <definedName name="Interval">'[4]Office Work Schedule'!#REF!</definedName>
    <definedName name="Mapa2" localSheetId="3">'[1]7.7.6'!#REF!</definedName>
    <definedName name="Mapa2" localSheetId="9">'[1]7.7.6'!#REF!</definedName>
    <definedName name="Mapa2" localSheetId="10">'[1]7.7.6'!#REF!</definedName>
    <definedName name="Mapa2" localSheetId="1">'[1]7.7.6'!#REF!</definedName>
    <definedName name="Mapa2" localSheetId="29">'[1]7.7.6'!#REF!</definedName>
    <definedName name="Mapa2" localSheetId="5">'[1]7.7.6'!#REF!</definedName>
    <definedName name="Mapa2" localSheetId="6">'[1]7.7.6'!#REF!</definedName>
    <definedName name="Mapa2" localSheetId="7">'[1]7.7.6'!#REF!</definedName>
    <definedName name="Mapa2" localSheetId="65">'[1]7.7.6'!#REF!</definedName>
    <definedName name="Mapa2" localSheetId="83">'[1]7.7.6'!#REF!</definedName>
    <definedName name="Mapa2" localSheetId="0">'[1]7.7.6'!#REF!</definedName>
    <definedName name="Mapa2" localSheetId="64">'[1]7.7.6'!#REF!</definedName>
    <definedName name="Mapa2" localSheetId="104">'[1]7.7.6'!#REF!</definedName>
    <definedName name="Mapa2" localSheetId="105">'[1]7.7.6'!#REF!</definedName>
    <definedName name="Mapa2" localSheetId="106">'[1]7.7.6'!#REF!</definedName>
    <definedName name="Mapa2">'[1]7.7.6'!#REF!</definedName>
    <definedName name="ocho" localSheetId="9">'[1]7.7.6'!#REF!</definedName>
    <definedName name="ocho" localSheetId="10">'[1]7.7.6'!#REF!</definedName>
    <definedName name="ocho" localSheetId="1">'[1]7.7.6'!#REF!</definedName>
    <definedName name="ocho" localSheetId="15">'[1]7.7.6'!#REF!</definedName>
    <definedName name="ocho" localSheetId="21">'[1]7.7.6'!#REF!</definedName>
    <definedName name="ocho" localSheetId="27">'[1]7.7.6'!#REF!</definedName>
    <definedName name="ocho" localSheetId="29">'[1]7.7.6'!#REF!</definedName>
    <definedName name="ocho" localSheetId="30">'[1]7.7.6'!#REF!</definedName>
    <definedName name="ocho" localSheetId="34">'[1]7.7.6'!#REF!</definedName>
    <definedName name="ocho" localSheetId="38">'[1]7.7.6'!#REF!</definedName>
    <definedName name="ocho" localSheetId="44">'[1]7.7.6'!#REF!</definedName>
    <definedName name="ocho" localSheetId="5">'[1]7.7.6'!#REF!</definedName>
    <definedName name="ocho" localSheetId="6">'[1]7.7.6'!#REF!</definedName>
    <definedName name="ocho" localSheetId="7">'[1]7.7.6'!#REF!</definedName>
    <definedName name="ocho" localSheetId="63">'[1]7.7.6'!#REF!</definedName>
    <definedName name="ocho" localSheetId="65">'[1]7.7.6'!#REF!</definedName>
    <definedName name="ocho" localSheetId="61">'[1]7.7.6'!#REF!</definedName>
    <definedName name="ocho" localSheetId="83">'[1]7.7.6'!#REF!</definedName>
    <definedName name="ocho" localSheetId="0">'[1]7.7.6'!#REF!</definedName>
    <definedName name="ocho" localSheetId="64">'[1]7.7.6'!#REF!</definedName>
    <definedName name="ocho" localSheetId="88">'[1]7.7.6'!#REF!</definedName>
    <definedName name="ocho" localSheetId="104">'[1]7.7.6'!#REF!</definedName>
    <definedName name="ocho" localSheetId="105">'[1]7.7.6'!#REF!</definedName>
    <definedName name="ocho" localSheetId="106">'[1]7.7.6'!#REF!</definedName>
    <definedName name="ocho">'[1]7.7.6'!#REF!</definedName>
    <definedName name="Print1">'[1]7.7.6'!$A$1:$AQ$58</definedName>
    <definedName name="Print2" localSheetId="9">'[1]7.7.6'!#REF!</definedName>
    <definedName name="Print2" localSheetId="10">'[1]7.7.6'!#REF!</definedName>
    <definedName name="Print2" localSheetId="1">'[1]7.7.6'!#REF!</definedName>
    <definedName name="Print2" localSheetId="15">'[1]7.7.6'!#REF!</definedName>
    <definedName name="Print2" localSheetId="21">'[1]7.7.6'!#REF!</definedName>
    <definedName name="Print2" localSheetId="27">'[1]7.7.6'!#REF!</definedName>
    <definedName name="Print2" localSheetId="29">'[1]7.7.6'!#REF!</definedName>
    <definedName name="Print2" localSheetId="30">'[1]7.7.6'!#REF!</definedName>
    <definedName name="Print2" localSheetId="34">'[1]7.7.6'!#REF!</definedName>
    <definedName name="Print2" localSheetId="38">'[1]7.7.6'!#REF!</definedName>
    <definedName name="Print2" localSheetId="43">'[1]7.7.6'!#REF!</definedName>
    <definedName name="Print2" localSheetId="44">'[1]7.7.6'!#REF!</definedName>
    <definedName name="Print2" localSheetId="55">'[1]7.7.6'!#REF!</definedName>
    <definedName name="Print2" localSheetId="56">'[1]7.7.6'!#REF!</definedName>
    <definedName name="Print2" localSheetId="5">'[1]7.7.6'!#REF!</definedName>
    <definedName name="Print2" localSheetId="6">'[1]7.7.6'!#REF!</definedName>
    <definedName name="Print2" localSheetId="7">'[1]7.7.6'!#REF!</definedName>
    <definedName name="Print2" localSheetId="62">'[1]7.7.6'!#REF!</definedName>
    <definedName name="Print2" localSheetId="63">'[1]7.7.6'!#REF!</definedName>
    <definedName name="Print2" localSheetId="65">'[1]7.7.6'!#REF!</definedName>
    <definedName name="Print2" localSheetId="60">'[1]7.7.6'!#REF!</definedName>
    <definedName name="Print2" localSheetId="61">'[1]7.7.6'!#REF!</definedName>
    <definedName name="Print2" localSheetId="78">'[1]7.7.6'!#REF!</definedName>
    <definedName name="Print2" localSheetId="80">'[1]7.7.6'!#REF!</definedName>
    <definedName name="Print2" localSheetId="83">'[1]7.7.6'!#REF!</definedName>
    <definedName name="Print2" localSheetId="0">'[1]7.7.6'!#REF!</definedName>
    <definedName name="Print2" localSheetId="64">'[1]7.7.6'!#REF!</definedName>
    <definedName name="Print2" localSheetId="87">'[1]7.7.6'!#REF!</definedName>
    <definedName name="Print2" localSheetId="88">'[1]7.7.6'!#REF!</definedName>
    <definedName name="Print2" localSheetId="92">'[1]7.7.6'!#REF!</definedName>
    <definedName name="Print2" localSheetId="96">'[1]7.7.6'!#REF!</definedName>
    <definedName name="Print2" localSheetId="86">'[1]7.7.6'!#REF!</definedName>
    <definedName name="Print2" localSheetId="104">'[1]7.7.6'!#REF!</definedName>
    <definedName name="Print2" localSheetId="105">'[1]7.7.6'!#REF!</definedName>
    <definedName name="Print2" localSheetId="106">'[1]7.7.6'!#REF!</definedName>
    <definedName name="Print2">'[1]7.7.6'!#REF!</definedName>
    <definedName name="Print3" localSheetId="9">'[1]7.7.6'!#REF!</definedName>
    <definedName name="Print3" localSheetId="10">'[1]7.7.6'!#REF!</definedName>
    <definedName name="Print3" localSheetId="1">'[1]7.7.6'!#REF!</definedName>
    <definedName name="Print3" localSheetId="29">'[1]7.7.6'!#REF!</definedName>
    <definedName name="Print3" localSheetId="5">'[1]7.7.6'!#REF!</definedName>
    <definedName name="Print3" localSheetId="6">'[1]7.7.6'!#REF!</definedName>
    <definedName name="Print3" localSheetId="7">'[1]7.7.6'!#REF!</definedName>
    <definedName name="Print3" localSheetId="65">'[1]7.7.6'!#REF!</definedName>
    <definedName name="Print3" localSheetId="80">'[1]7.7.6'!#REF!</definedName>
    <definedName name="Print3" localSheetId="83">'[1]7.7.6'!#REF!</definedName>
    <definedName name="Print3" localSheetId="0">'[1]7.7.6'!#REF!</definedName>
    <definedName name="Print3" localSheetId="64">'[1]7.7.6'!#REF!</definedName>
    <definedName name="Print3" localSheetId="88">'[1]7.7.6'!#REF!</definedName>
    <definedName name="Print3" localSheetId="104">'[1]7.7.6'!#REF!</definedName>
    <definedName name="Print3" localSheetId="105">'[1]7.7.6'!#REF!</definedName>
    <definedName name="Print3" localSheetId="106">'[1]7.7.6'!#REF!</definedName>
    <definedName name="Print3">'[1]7.7.6'!#REF!</definedName>
    <definedName name="RepFSS">'[1]7.7.6'!$T$1:$Y$57</definedName>
    <definedName name="rPT" localSheetId="9">OFFSET(DD,0,0,COUNTA('[2]Dias Festivos'!$A:$A)-COUNTA('[2]Dias Festivos'!$A$1:OFFSET(DD,-1,0,1,1)),COUNTA('[2]Dias Festivos'!$4:$4))</definedName>
    <definedName name="rPT" localSheetId="10">OFFSET([3]!DD,0,0,COUNTA('[2]Dias Festivos'!$A:$A)-COUNTA('[2]Dias Festivos'!$A$1:OFFSET([3]!DD,-1,0,1,1)),COUNTA('[2]Dias Festivos'!$4:$4))</definedName>
    <definedName name="rPT" localSheetId="29">OFFSET(DD,0,0,COUNTA('[2]Dias Festivos'!$A:$A)-COUNTA('[2]Dias Festivos'!$A$1:OFFSET(DD,-1,0,1,1)),COUNTA('[2]Dias Festivos'!$4:$4))</definedName>
    <definedName name="rPT" localSheetId="80">OFFSET(DD,0,0,COUNTA('[2]Dias Festivos'!$A:$A)-COUNTA('[2]Dias Festivos'!$A$1:OFFSET(DD,-1,0,1,1)),COUNTA('[2]Dias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6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9">'[4]Office Work Schedule'!#REF!</definedName>
    <definedName name="ScheduleStart" localSheetId="10">'[4]Office Work Schedule'!#REF!</definedName>
    <definedName name="ScheduleStart" localSheetId="29">'[4]Office Work Schedule'!#REF!</definedName>
    <definedName name="ScheduleStart" localSheetId="5">'[4]Office Work Schedule'!#REF!</definedName>
    <definedName name="ScheduleStart" localSheetId="6">'[4]Office Work Schedule'!#REF!</definedName>
    <definedName name="ScheduleStart" localSheetId="7">'[4]Office Work Schedule'!#REF!</definedName>
    <definedName name="ScheduleStart" localSheetId="80">'[4]Office Work Schedule'!#REF!</definedName>
    <definedName name="ScheduleStart" localSheetId="83">'[4]Office Work Schedule'!#REF!</definedName>
    <definedName name="ScheduleStart" localSheetId="2">'[4]Office Work Schedule'!#REF!</definedName>
    <definedName name="ScheduleStart" localSheetId="0">'[4]Office Work Schedule'!#REF!</definedName>
    <definedName name="ScheduleStart" localSheetId="64">'[4]Office Work Schedule'!#REF!</definedName>
    <definedName name="ScheduleStart">'[4]Office Work Schedule'!#REF!</definedName>
    <definedName name="Slicer_ENTIDAD">#N/A</definedName>
    <definedName name="Slicer_Tipo_de_fondo">#N/A</definedName>
    <definedName name="srl" localSheetId="9">'[1]7.7.6'!#REF!</definedName>
    <definedName name="srl" localSheetId="10">'[1]7.7.6'!#REF!</definedName>
    <definedName name="srl" localSheetId="1">'[1]7.7.6'!#REF!</definedName>
    <definedName name="srl" localSheetId="15">'[1]7.7.6'!#REF!</definedName>
    <definedName name="srl" localSheetId="21">'[1]7.7.6'!#REF!</definedName>
    <definedName name="srl" localSheetId="27">'[1]7.7.6'!#REF!</definedName>
    <definedName name="srl" localSheetId="29">'[1]7.7.6'!#REF!</definedName>
    <definedName name="srl" localSheetId="30">'[1]7.7.6'!#REF!</definedName>
    <definedName name="srl" localSheetId="34">'[1]7.7.6'!#REF!</definedName>
    <definedName name="srl" localSheetId="38">'[1]7.7.6'!#REF!</definedName>
    <definedName name="srl" localSheetId="44">'[1]7.7.6'!#REF!</definedName>
    <definedName name="srl" localSheetId="5">'[1]7.7.6'!#REF!</definedName>
    <definedName name="srl" localSheetId="6">'[1]7.7.6'!#REF!</definedName>
    <definedName name="srl" localSheetId="7">'[1]7.7.6'!#REF!</definedName>
    <definedName name="srl" localSheetId="63">'[1]7.7.6'!#REF!</definedName>
    <definedName name="srl" localSheetId="65">'[1]7.7.6'!#REF!</definedName>
    <definedName name="srl" localSheetId="61">'[1]7.7.6'!#REF!</definedName>
    <definedName name="srl" localSheetId="80">'[1]7.7.6'!#REF!</definedName>
    <definedName name="srl" localSheetId="83">'[1]7.7.6'!#REF!</definedName>
    <definedName name="srl" localSheetId="0">'[1]7.7.6'!#REF!</definedName>
    <definedName name="srl" localSheetId="64">'[1]7.7.6'!#REF!</definedName>
    <definedName name="srl" localSheetId="88">'[1]7.7.6'!#REF!</definedName>
    <definedName name="srl" localSheetId="104">'[1]7.7.6'!#REF!</definedName>
    <definedName name="srl" localSheetId="105">'[1]7.7.6'!#REF!</definedName>
    <definedName name="srl" localSheetId="106">'[1]7.7.6'!#REF!</definedName>
    <definedName name="srl">'[1]7.7.6'!#REF!</definedName>
    <definedName name="svds" localSheetId="9">#REF!</definedName>
    <definedName name="svds" localSheetId="10">#REF!</definedName>
    <definedName name="SVDS" localSheetId="1">'[1]7.7.6'!#REF!</definedName>
    <definedName name="SVDS" localSheetId="15">'[1]7.7.6'!#REF!</definedName>
    <definedName name="SVDS" localSheetId="21">'[1]7.7.6'!#REF!</definedName>
    <definedName name="SVDS" localSheetId="27">'[1]7.7.6'!#REF!</definedName>
    <definedName name="SVDS" localSheetId="29">'[1]7.7.6'!#REF!</definedName>
    <definedName name="SVDS" localSheetId="30">'[1]7.7.6'!#REF!</definedName>
    <definedName name="SVDS" localSheetId="34">'[1]7.7.6'!#REF!</definedName>
    <definedName name="SVDS" localSheetId="38">'[1]7.7.6'!#REF!</definedName>
    <definedName name="SVDS" localSheetId="44">'[1]7.7.6'!#REF!</definedName>
    <definedName name="SVDS" localSheetId="5">'[1]7.7.6'!#REF!</definedName>
    <definedName name="SVDS" localSheetId="6">'[1]7.7.6'!#REF!</definedName>
    <definedName name="SVDS" localSheetId="7">'[1]7.7.6'!#REF!</definedName>
    <definedName name="SVDS" localSheetId="63">'[1]7.7.6'!#REF!</definedName>
    <definedName name="SVDS" localSheetId="65">'[1]7.7.6'!#REF!</definedName>
    <definedName name="SVDS" localSheetId="61">'[1]7.7.6'!#REF!</definedName>
    <definedName name="SVDS" localSheetId="80">'[1]7.7.6'!#REF!</definedName>
    <definedName name="SVDS" localSheetId="83">'[1]7.7.6'!#REF!</definedName>
    <definedName name="SVDS" localSheetId="0">'[1]7.7.6'!#REF!</definedName>
    <definedName name="SVDS" localSheetId="64">'[1]7.7.6'!#REF!</definedName>
    <definedName name="SVDS" localSheetId="88">'[1]7.7.6'!#REF!</definedName>
    <definedName name="SVDS" localSheetId="96">'[1]7.7.6'!#REF!</definedName>
    <definedName name="SVDS" localSheetId="104">'[1]7.7.6'!#REF!</definedName>
    <definedName name="SVDS" localSheetId="105">'[1]7.7.6'!#REF!</definedName>
    <definedName name="SVDS" localSheetId="106">'[1]7.7.6'!#REF!</definedName>
    <definedName name="SVDS">'[1]7.7.6'!#REF!</definedName>
    <definedName name="Totales">'[1]7.7.6'!$A$1:$AP$58</definedName>
    <definedName name="Type" localSheetId="9">'[5]Maintenance Work Order'!#REF!</definedName>
    <definedName name="Type" localSheetId="10">'[5]Maintenance Work Order'!#REF!</definedName>
    <definedName name="Type" localSheetId="29">'[5]Maintenance Work Order'!#REF!</definedName>
    <definedName name="Type" localSheetId="5">'[5]Maintenance Work Order'!#REF!</definedName>
    <definedName name="Type" localSheetId="6">'[5]Maintenance Work Order'!#REF!</definedName>
    <definedName name="Type" localSheetId="7">'[5]Maintenance Work Order'!#REF!</definedName>
    <definedName name="Type" localSheetId="80">'[5]Maintenance Work Order'!#REF!</definedName>
    <definedName name="Type" localSheetId="83">'[5]Maintenance Work Order'!#REF!</definedName>
    <definedName name="Type" localSheetId="2">'[5]Maintenance Work Order'!#REF!</definedName>
    <definedName name="Type" localSheetId="0">'[5]Maintenance Work Order'!#REF!</definedName>
    <definedName name="Type" localSheetId="64">'[6]Maintenance Work Order'!#REF!</definedName>
    <definedName name="Type">'[5]Maintenance Work Order'!#REF!</definedName>
    <definedName name="unnamed" localSheetId="9">#REF!</definedName>
    <definedName name="unnamed" localSheetId="10">#REF!</definedName>
    <definedName name="unnamed" localSheetId="29">#REF!</definedName>
    <definedName name="unnamed" localSheetId="5">#REF!</definedName>
    <definedName name="unnamed" localSheetId="6">#REF!</definedName>
    <definedName name="unnamed" localSheetId="7">#REF!</definedName>
    <definedName name="unnamed" localSheetId="80">#REF!</definedName>
    <definedName name="unnamed" localSheetId="83">#REF!</definedName>
    <definedName name="unnamed" localSheetId="2">#REF!</definedName>
    <definedName name="unnamed" localSheetId="0">#REF!</definedName>
    <definedName name="unnamed" localSheetId="64">#REF!</definedName>
    <definedName name="unnamed">#REF!</definedName>
    <definedName name="Urtea">[2]Calendario!$B$5</definedName>
    <definedName name="Vacaciones" localSheetId="9">OFFSET(VV,1,0,COUNTA([7]Vacaciones!$A:$A)-COUNTA([7]Vacaciones!$A$1:VV),1)</definedName>
    <definedName name="Vacaciones" localSheetId="10">OFFSET([3]!VV,1,0,COUNTA([7]Vacaciones!$A:$A)-COUNTA([7]Vacaciones!$A$1:[3]!VV),1)</definedName>
    <definedName name="Vacaciones" localSheetId="29">OFFSET(VV,1,0,COUNTA([7]Vacaciones!$A:$A)-COUNTA([7]Vacaciones!$A$1:VV),1)</definedName>
    <definedName name="Vacaciones" localSheetId="80">OFFSET(VV,1,0,COUNTA([7]Vacaciones!$A:$A)-COUNTA([7]Vacaciones!$A$1:VV),1)</definedName>
    <definedName name="Vacaciones" localSheetId="2">OFFSET(VV,1,0,COUNTA([7]Vacaciones!$A:$A)-COUNTA([7]Vacaciones!$A$1:VV),1)</definedName>
    <definedName name="Vacaciones" localSheetId="0">OFFSET(VV,1,0,COUNTA([7]Vacaciones!$A:$A)-COUNTA([7]Vacaciones!$A$1:VV),1)</definedName>
    <definedName name="Vacaciones" localSheetId="64">OFFSET(VV,1,0,COUNTA([7]Vacaciones!$A:$A)-COUNTA([7]Vacaciones!$A$1:VV),1)</definedName>
    <definedName name="Vacaciones">OFFSET(VV,1,0,COUNTA([7]Vacaciones!$A:$A)-COUNTA([7]Vacaciones!$A$1:VV),1)</definedName>
    <definedName name="VV">[7]Vacaciones!$A$4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31" i="465" l="1"/>
  <c r="AK31" i="465"/>
  <c r="AK20" i="465"/>
  <c r="AL24" i="465"/>
  <c r="AL25" i="465"/>
  <c r="AL26" i="465"/>
  <c r="AL27" i="465"/>
  <c r="AL28" i="465"/>
  <c r="AL29" i="465"/>
  <c r="AL30" i="465"/>
  <c r="AL23" i="465"/>
  <c r="AJ7" i="465"/>
  <c r="AL14" i="465"/>
  <c r="AL15" i="465"/>
  <c r="AL16" i="465"/>
  <c r="AL17" i="465"/>
  <c r="AL18" i="465"/>
  <c r="AL13" i="465"/>
  <c r="D23" i="222"/>
  <c r="Q12" i="222"/>
  <c r="J22" i="217"/>
  <c r="C24" i="282"/>
  <c r="B24" i="282"/>
  <c r="M20" i="383"/>
  <c r="L20" i="383"/>
  <c r="H20" i="383"/>
  <c r="G20" i="383"/>
  <c r="F20" i="383"/>
  <c r="E20" i="383"/>
  <c r="D20" i="383"/>
  <c r="C20" i="383"/>
  <c r="B20" i="383"/>
  <c r="M21" i="382"/>
  <c r="H21" i="382"/>
  <c r="G21" i="382"/>
  <c r="F21" i="382"/>
  <c r="E21" i="382"/>
  <c r="D21" i="382"/>
  <c r="C21" i="382"/>
  <c r="B21" i="382"/>
  <c r="N84" i="491"/>
  <c r="E89" i="491"/>
  <c r="B91" i="491"/>
  <c r="N29" i="457"/>
  <c r="N30" i="457"/>
  <c r="N31" i="457"/>
  <c r="N32" i="457"/>
  <c r="N33" i="457"/>
  <c r="N34" i="457"/>
  <c r="N35" i="457"/>
  <c r="N36" i="457"/>
  <c r="M30" i="457"/>
  <c r="M31" i="457"/>
  <c r="M32" i="457"/>
  <c r="M33" i="457"/>
  <c r="M34" i="457"/>
  <c r="M35" i="457"/>
  <c r="M36" i="457"/>
  <c r="M29" i="457"/>
  <c r="M37" i="457" s="1"/>
  <c r="N23" i="457"/>
  <c r="N18" i="457"/>
  <c r="N19" i="457"/>
  <c r="N20" i="457"/>
  <c r="N21" i="457"/>
  <c r="N22" i="457"/>
  <c r="N17" i="457"/>
  <c r="M18" i="457"/>
  <c r="M19" i="457"/>
  <c r="M20" i="457"/>
  <c r="M21" i="457"/>
  <c r="M22" i="457"/>
  <c r="M23" i="457"/>
  <c r="M17" i="457"/>
  <c r="G4" i="465"/>
  <c r="P7" i="465"/>
  <c r="P8" i="465"/>
  <c r="P9" i="465"/>
  <c r="P10" i="465"/>
  <c r="P11" i="465"/>
  <c r="P12" i="465"/>
  <c r="P6" i="465"/>
  <c r="AJ10" i="465"/>
  <c r="AE10" i="465"/>
  <c r="Z10" i="465"/>
  <c r="AJ9" i="465"/>
  <c r="AE9" i="465"/>
  <c r="Z9" i="465"/>
  <c r="AJ8" i="465"/>
  <c r="AE8" i="465"/>
  <c r="Z8" i="465"/>
  <c r="AE7" i="465"/>
  <c r="Z7" i="465"/>
  <c r="Q22" i="459"/>
  <c r="M14" i="459" s="1"/>
  <c r="Q23" i="459"/>
  <c r="M15" i="459" s="1"/>
  <c r="Q24" i="459"/>
  <c r="M16" i="459" s="1"/>
  <c r="Q25" i="459"/>
  <c r="M17" i="459" s="1"/>
  <c r="V22" i="459"/>
  <c r="N14" i="459" s="1"/>
  <c r="V23" i="459"/>
  <c r="N15" i="459" s="1"/>
  <c r="V24" i="459"/>
  <c r="N16" i="459" s="1"/>
  <c r="V25" i="459"/>
  <c r="N17" i="459" s="1"/>
  <c r="AA22" i="459"/>
  <c r="O14" i="459" s="1"/>
  <c r="AA23" i="459"/>
  <c r="O15" i="459" s="1"/>
  <c r="AA24" i="459"/>
  <c r="AA25" i="459"/>
  <c r="O17" i="459" s="1"/>
  <c r="O16" i="459"/>
  <c r="D6" i="222"/>
  <c r="D7" i="222"/>
  <c r="D8" i="222"/>
  <c r="D9" i="222"/>
  <c r="D10" i="222"/>
  <c r="E10" i="222" s="1"/>
  <c r="D11" i="222"/>
  <c r="D12" i="222"/>
  <c r="D13" i="222"/>
  <c r="D14" i="222"/>
  <c r="D15" i="222"/>
  <c r="E15" i="222" s="1"/>
  <c r="D16" i="222"/>
  <c r="E16" i="222" s="1"/>
  <c r="D17" i="222"/>
  <c r="E17" i="222" s="1"/>
  <c r="D18" i="222"/>
  <c r="D19" i="222"/>
  <c r="D20" i="222"/>
  <c r="D21" i="222"/>
  <c r="D22" i="222"/>
  <c r="F22" i="222" s="1"/>
  <c r="E6" i="222"/>
  <c r="F6" i="222"/>
  <c r="E7" i="222"/>
  <c r="F7" i="222"/>
  <c r="E8" i="222"/>
  <c r="F8" i="222"/>
  <c r="E9" i="222"/>
  <c r="F9" i="222"/>
  <c r="E11" i="222"/>
  <c r="F11" i="222"/>
  <c r="E12" i="222"/>
  <c r="F12" i="222"/>
  <c r="E13" i="222"/>
  <c r="F13" i="222"/>
  <c r="E14" i="222"/>
  <c r="F14" i="222"/>
  <c r="E18" i="222"/>
  <c r="F18" i="222"/>
  <c r="E19" i="222"/>
  <c r="F19" i="222"/>
  <c r="E20" i="222"/>
  <c r="F20" i="222"/>
  <c r="E21" i="222"/>
  <c r="F21" i="222"/>
  <c r="E22" i="222"/>
  <c r="E23" i="222"/>
  <c r="F23" i="222"/>
  <c r="P11" i="224"/>
  <c r="R11" i="224" s="1"/>
  <c r="P12" i="224"/>
  <c r="R12" i="224" s="1"/>
  <c r="O12" i="222"/>
  <c r="O13" i="222"/>
  <c r="Q13" i="222" s="1"/>
  <c r="Z5" i="217"/>
  <c r="Z6" i="217"/>
  <c r="AB6" i="217" s="1"/>
  <c r="Z7" i="217"/>
  <c r="AB7" i="217" s="1"/>
  <c r="Z8" i="217"/>
  <c r="AB8" i="217" s="1"/>
  <c r="Z9" i="217"/>
  <c r="AB9" i="217" s="1"/>
  <c r="Z10" i="217"/>
  <c r="AB10" i="217" s="1"/>
  <c r="Z11" i="217"/>
  <c r="AB11" i="217" s="1"/>
  <c r="Z12" i="217"/>
  <c r="AB12" i="217" s="1"/>
  <c r="P8" i="215"/>
  <c r="Q8" i="215"/>
  <c r="R8" i="215"/>
  <c r="H7" i="78"/>
  <c r="H8" i="78"/>
  <c r="H9" i="78"/>
  <c r="H10" i="78"/>
  <c r="H11" i="78"/>
  <c r="H12" i="78"/>
  <c r="H13" i="78"/>
  <c r="H14" i="78"/>
  <c r="H15" i="78"/>
  <c r="H16" i="78"/>
  <c r="H17" i="78"/>
  <c r="H18" i="78"/>
  <c r="H19" i="78"/>
  <c r="H20" i="78"/>
  <c r="H21" i="78"/>
  <c r="H22" i="78"/>
  <c r="H23" i="78"/>
  <c r="C23" i="395"/>
  <c r="E9" i="29"/>
  <c r="E10" i="29"/>
  <c r="E11" i="29"/>
  <c r="E12" i="29"/>
  <c r="E13" i="29"/>
  <c r="E8" i="29"/>
  <c r="E7" i="29"/>
  <c r="E6" i="29"/>
  <c r="E5" i="29"/>
  <c r="F98" i="491"/>
  <c r="H92" i="491"/>
  <c r="E74" i="491"/>
  <c r="E88" i="491" s="1"/>
  <c r="C5" i="391"/>
  <c r="AB5" i="217" l="1"/>
  <c r="Z15" i="217"/>
  <c r="O17" i="457"/>
  <c r="N24" i="457"/>
  <c r="O22" i="457"/>
  <c r="O21" i="457"/>
  <c r="O20" i="457"/>
  <c r="O19" i="457"/>
  <c r="O18" i="457"/>
  <c r="O23" i="457"/>
  <c r="O36" i="457"/>
  <c r="O35" i="457"/>
  <c r="O34" i="457"/>
  <c r="O33" i="457"/>
  <c r="O32" i="457"/>
  <c r="O31" i="457"/>
  <c r="O30" i="457"/>
  <c r="N37" i="457"/>
  <c r="O29" i="457"/>
  <c r="O37" i="457"/>
  <c r="P37" i="457" s="1"/>
  <c r="M24" i="457"/>
  <c r="F17" i="222"/>
  <c r="F16" i="222"/>
  <c r="F10" i="222"/>
  <c r="F15" i="222"/>
  <c r="P29" i="457" l="1"/>
  <c r="P30" i="457"/>
  <c r="P31" i="457"/>
  <c r="P32" i="457"/>
  <c r="P33" i="457"/>
  <c r="P34" i="457"/>
  <c r="P35" i="457"/>
  <c r="P36" i="457"/>
  <c r="O24" i="457"/>
  <c r="P17" i="457" l="1"/>
  <c r="P18" i="457"/>
  <c r="P19" i="457"/>
  <c r="P21" i="457"/>
  <c r="P20" i="457"/>
  <c r="P22" i="457"/>
  <c r="P23" i="457"/>
  <c r="P24" i="457"/>
  <c r="E103" i="491"/>
  <c r="E20" i="491"/>
  <c r="E19" i="491"/>
  <c r="E18" i="491"/>
  <c r="E22" i="491" s="1"/>
  <c r="D20" i="491"/>
  <c r="D19" i="491"/>
  <c r="D18" i="491"/>
  <c r="C26" i="491"/>
  <c r="N9" i="457"/>
  <c r="N10" i="457"/>
  <c r="N11" i="457"/>
  <c r="N8" i="457"/>
  <c r="C12" i="465"/>
  <c r="S7" i="226" l="1"/>
  <c r="S8" i="226"/>
  <c r="S9" i="226"/>
  <c r="S10" i="226"/>
  <c r="S11" i="226"/>
  <c r="S12" i="226"/>
  <c r="O16" i="452"/>
  <c r="Q16" i="452" s="1"/>
  <c r="O26" i="452"/>
  <c r="Q26" i="452" s="1"/>
  <c r="O33" i="452"/>
  <c r="Q33" i="452" s="1"/>
  <c r="O19" i="452"/>
  <c r="Q19" i="452" s="1"/>
  <c r="O24" i="452"/>
  <c r="Q24" i="452" s="1"/>
  <c r="O13" i="452"/>
  <c r="Q13" i="452" s="1"/>
  <c r="O36" i="452"/>
  <c r="Q36" i="452" s="1"/>
  <c r="O31" i="452"/>
  <c r="Q31" i="452" s="1"/>
  <c r="O30" i="452"/>
  <c r="Q30" i="452" s="1"/>
  <c r="O18" i="452"/>
  <c r="Q18" i="452" s="1"/>
  <c r="O28" i="452"/>
  <c r="Q28" i="452" s="1"/>
  <c r="O7" i="452"/>
  <c r="O14" i="452"/>
  <c r="Q14" i="452" s="1"/>
  <c r="O10" i="452"/>
  <c r="Q10" i="452" s="1"/>
  <c r="O21" i="452"/>
  <c r="Q21" i="452" s="1"/>
  <c r="O27" i="452"/>
  <c r="Q27" i="452" s="1"/>
  <c r="O35" i="452"/>
  <c r="Q35" i="452" s="1"/>
  <c r="O8" i="452"/>
  <c r="Q8" i="452" s="1"/>
  <c r="O17" i="452"/>
  <c r="Q17" i="452" s="1"/>
  <c r="O32" i="452"/>
  <c r="Q32" i="452" s="1"/>
  <c r="O20" i="452"/>
  <c r="Q20" i="452" s="1"/>
  <c r="O5" i="452"/>
  <c r="Q5" i="452" s="1"/>
  <c r="O34" i="452"/>
  <c r="Q34" i="452" s="1"/>
  <c r="O22" i="452"/>
  <c r="Q22" i="452" s="1"/>
  <c r="O9" i="452"/>
  <c r="Q9" i="452" s="1"/>
  <c r="O29" i="452"/>
  <c r="Q29" i="452" s="1"/>
  <c r="O11" i="452"/>
  <c r="Q11" i="452" s="1"/>
  <c r="O23" i="452"/>
  <c r="Q23" i="452" s="1"/>
  <c r="O15" i="452"/>
  <c r="Q15" i="452" s="1"/>
  <c r="O6" i="452"/>
  <c r="Q6" i="452" s="1"/>
  <c r="O25" i="452"/>
  <c r="Q25" i="452" s="1"/>
  <c r="O12" i="452"/>
  <c r="Q12" i="452" s="1"/>
  <c r="B23" i="215"/>
  <c r="C23" i="215"/>
  <c r="A2" i="282"/>
  <c r="L16" i="442"/>
  <c r="L17" i="442"/>
  <c r="L18" i="442"/>
  <c r="L19" i="442"/>
  <c r="L20" i="442"/>
  <c r="L21" i="442"/>
  <c r="L22" i="442"/>
  <c r="L23" i="442"/>
  <c r="L24" i="442"/>
  <c r="N11" i="442"/>
  <c r="B14" i="29"/>
  <c r="C14" i="29"/>
  <c r="D14" i="29"/>
  <c r="E14" i="29"/>
  <c r="B15" i="276" s="1"/>
  <c r="F5" i="29"/>
  <c r="F6" i="29"/>
  <c r="M16" i="442" s="1"/>
  <c r="F7" i="29"/>
  <c r="M17" i="442" s="1"/>
  <c r="F8" i="29"/>
  <c r="M18" i="442" s="1"/>
  <c r="F9" i="29"/>
  <c r="M19" i="442" s="1"/>
  <c r="F10" i="29"/>
  <c r="M20" i="442" s="1"/>
  <c r="F11" i="29"/>
  <c r="M21" i="442" s="1"/>
  <c r="F12" i="29"/>
  <c r="M22" i="442" s="1"/>
  <c r="F13" i="29"/>
  <c r="M23" i="442" s="1"/>
  <c r="N28" i="441"/>
  <c r="N27" i="441"/>
  <c r="N26" i="441"/>
  <c r="O28" i="441"/>
  <c r="O26" i="441"/>
  <c r="O27" i="441"/>
  <c r="O25" i="441"/>
  <c r="N25" i="441"/>
  <c r="N21" i="441"/>
  <c r="N20" i="441"/>
  <c r="D5" i="391"/>
  <c r="E9" i="400"/>
  <c r="E10" i="400"/>
  <c r="E11" i="400"/>
  <c r="E12" i="400"/>
  <c r="E13" i="400"/>
  <c r="E14" i="400"/>
  <c r="E15" i="400"/>
  <c r="E8" i="400"/>
  <c r="E7" i="400"/>
  <c r="E6" i="400"/>
  <c r="E5" i="400"/>
  <c r="H9" i="400"/>
  <c r="H10" i="400"/>
  <c r="H11" i="400"/>
  <c r="H12" i="400"/>
  <c r="H13" i="400"/>
  <c r="H14" i="400"/>
  <c r="H15" i="400"/>
  <c r="H16" i="400"/>
  <c r="H17" i="400"/>
  <c r="H18" i="400"/>
  <c r="H8" i="400"/>
  <c r="B16" i="400"/>
  <c r="K41" i="400"/>
  <c r="K42" i="400" s="1"/>
  <c r="L33" i="400"/>
  <c r="K33" i="400"/>
  <c r="J33" i="400"/>
  <c r="L29" i="400"/>
  <c r="K29" i="400"/>
  <c r="J29" i="400"/>
  <c r="K25" i="400"/>
  <c r="J25" i="400"/>
  <c r="M18" i="400"/>
  <c r="O18" i="400" s="1"/>
  <c r="M17" i="400"/>
  <c r="O17" i="400" s="1"/>
  <c r="N16" i="400"/>
  <c r="W36" i="449" s="1"/>
  <c r="M16" i="400"/>
  <c r="N15" i="400"/>
  <c r="M15" i="400"/>
  <c r="N14" i="400"/>
  <c r="M14" i="400"/>
  <c r="N13" i="400"/>
  <c r="W33" i="449" s="1"/>
  <c r="M13" i="400"/>
  <c r="N12" i="400"/>
  <c r="M12" i="400"/>
  <c r="N11" i="400"/>
  <c r="W31" i="449" s="1"/>
  <c r="M11" i="400"/>
  <c r="N10" i="400"/>
  <c r="W30" i="449" s="1"/>
  <c r="M10" i="400"/>
  <c r="N9" i="400"/>
  <c r="W29" i="449" s="1"/>
  <c r="M9" i="400"/>
  <c r="B17" i="449"/>
  <c r="K7" i="449"/>
  <c r="K8" i="449"/>
  <c r="K9" i="449"/>
  <c r="K10" i="449"/>
  <c r="K11" i="449"/>
  <c r="K12" i="449"/>
  <c r="K13" i="449"/>
  <c r="K14" i="449"/>
  <c r="K15" i="449"/>
  <c r="K16" i="449"/>
  <c r="O33" i="408" s="1"/>
  <c r="N23" i="449"/>
  <c r="N24" i="449"/>
  <c r="N25" i="449"/>
  <c r="N26" i="449"/>
  <c r="N27" i="449"/>
  <c r="N28" i="449"/>
  <c r="N29" i="449"/>
  <c r="N30" i="449"/>
  <c r="N31" i="449"/>
  <c r="N32" i="449"/>
  <c r="N22" i="449"/>
  <c r="G10" i="449"/>
  <c r="G11" i="449"/>
  <c r="G12" i="449"/>
  <c r="G13" i="449"/>
  <c r="G14" i="449"/>
  <c r="G15" i="449"/>
  <c r="G16" i="449"/>
  <c r="O32" i="408" s="1"/>
  <c r="W38" i="449"/>
  <c r="W37" i="449"/>
  <c r="AD24" i="449"/>
  <c r="AB24" i="449"/>
  <c r="Z24" i="449"/>
  <c r="X24" i="449"/>
  <c r="AD23" i="449"/>
  <c r="AB23" i="449"/>
  <c r="Z23" i="449"/>
  <c r="X23" i="449"/>
  <c r="AD22" i="449"/>
  <c r="AB22" i="449"/>
  <c r="Z22" i="449"/>
  <c r="X22" i="449"/>
  <c r="U22" i="449"/>
  <c r="AD21" i="449"/>
  <c r="AB21" i="449"/>
  <c r="Z21" i="449"/>
  <c r="X21" i="449"/>
  <c r="U21" i="449"/>
  <c r="AD20" i="449"/>
  <c r="AB20" i="449"/>
  <c r="Z20" i="449"/>
  <c r="X20" i="449"/>
  <c r="U20" i="449"/>
  <c r="AD19" i="449"/>
  <c r="AB19" i="449"/>
  <c r="Z19" i="449"/>
  <c r="X19" i="449"/>
  <c r="U19" i="449"/>
  <c r="AD18" i="449"/>
  <c r="AB18" i="449"/>
  <c r="Z18" i="449"/>
  <c r="X18" i="449"/>
  <c r="U18" i="449"/>
  <c r="AD17" i="449"/>
  <c r="AB17" i="449"/>
  <c r="Z17" i="449"/>
  <c r="X17" i="449"/>
  <c r="U17" i="449"/>
  <c r="AD16" i="449"/>
  <c r="AB16" i="449"/>
  <c r="Z16" i="449"/>
  <c r="X16" i="449"/>
  <c r="U16" i="449"/>
  <c r="AD15" i="449"/>
  <c r="AB15" i="449"/>
  <c r="Z15" i="449"/>
  <c r="X15" i="449"/>
  <c r="U15" i="449"/>
  <c r="O29" i="441" l="1"/>
  <c r="P27" i="441"/>
  <c r="P26" i="441"/>
  <c r="P28" i="441"/>
  <c r="F14" i="29"/>
  <c r="M24" i="442" s="1"/>
  <c r="N20" i="442" s="1"/>
  <c r="M15" i="442"/>
  <c r="N15" i="442" s="1"/>
  <c r="N15" i="222"/>
  <c r="Q7" i="452"/>
  <c r="G37" i="452"/>
  <c r="N17" i="442"/>
  <c r="O15" i="400"/>
  <c r="O14" i="400"/>
  <c r="O9" i="400"/>
  <c r="O13" i="400"/>
  <c r="W34" i="449"/>
  <c r="O16" i="400"/>
  <c r="O12" i="400"/>
  <c r="W35" i="449"/>
  <c r="O10" i="400"/>
  <c r="O11" i="400"/>
  <c r="W32" i="449"/>
  <c r="M25" i="442" l="1"/>
  <c r="N22" i="442"/>
  <c r="N23" i="442"/>
  <c r="N19" i="442"/>
  <c r="N18" i="442"/>
  <c r="N16" i="442"/>
  <c r="N24" i="442"/>
  <c r="N21" i="442"/>
  <c r="P29" i="441"/>
  <c r="P25" i="441"/>
  <c r="C22" i="374" l="1"/>
  <c r="D5" i="374"/>
  <c r="D6" i="374"/>
  <c r="D7" i="374"/>
  <c r="D8" i="374"/>
  <c r="D9" i="374"/>
  <c r="D10" i="374"/>
  <c r="D11" i="374"/>
  <c r="D12" i="374"/>
  <c r="D13" i="374"/>
  <c r="D14" i="374"/>
  <c r="D16" i="374"/>
  <c r="D17" i="374"/>
  <c r="D18" i="374"/>
  <c r="D19" i="374"/>
  <c r="D21" i="374"/>
  <c r="O12" i="407"/>
  <c r="P12" i="407"/>
  <c r="O13" i="407"/>
  <c r="P13" i="407"/>
  <c r="O14" i="407"/>
  <c r="P14" i="407"/>
  <c r="O15" i="407"/>
  <c r="P15" i="407"/>
  <c r="O16" i="407"/>
  <c r="P16" i="407"/>
  <c r="O17" i="407"/>
  <c r="P17" i="407"/>
  <c r="O18" i="407"/>
  <c r="P18" i="407"/>
  <c r="O19" i="407"/>
  <c r="P19" i="407"/>
  <c r="O20" i="407"/>
  <c r="P20" i="407"/>
  <c r="O21" i="407"/>
  <c r="P21" i="407"/>
  <c r="O22" i="407"/>
  <c r="P22" i="407"/>
  <c r="O23" i="407"/>
  <c r="P23" i="407"/>
  <c r="O24" i="407"/>
  <c r="P24" i="407"/>
  <c r="O25" i="407"/>
  <c r="P25" i="407"/>
  <c r="O26" i="407"/>
  <c r="P26" i="407"/>
  <c r="P37" i="405"/>
  <c r="H23" i="226" l="1"/>
  <c r="D25" i="282"/>
  <c r="C37" i="508"/>
  <c r="D37" i="508"/>
  <c r="E37" i="508"/>
  <c r="F37" i="508"/>
  <c r="O8" i="457"/>
  <c r="O9" i="457"/>
  <c r="O10" i="457"/>
  <c r="O11" i="457"/>
  <c r="G36" i="508"/>
  <c r="G35" i="508"/>
  <c r="G34" i="508"/>
  <c r="G33" i="508"/>
  <c r="G32" i="508"/>
  <c r="G31" i="508"/>
  <c r="G30" i="508"/>
  <c r="G29" i="508"/>
  <c r="H29" i="508" s="1"/>
  <c r="G18" i="508"/>
  <c r="G19" i="508"/>
  <c r="G20" i="508"/>
  <c r="G21" i="508"/>
  <c r="G17" i="508"/>
  <c r="G16" i="508"/>
  <c r="G15" i="508"/>
  <c r="G14" i="508"/>
  <c r="H14" i="508" s="1"/>
  <c r="G4" i="508"/>
  <c r="G5" i="508"/>
  <c r="G6" i="508"/>
  <c r="G7" i="508"/>
  <c r="B12" i="465"/>
  <c r="F13" i="465"/>
  <c r="P15" i="459"/>
  <c r="P16" i="459"/>
  <c r="P17" i="459"/>
  <c r="P14" i="459"/>
  <c r="D5" i="459"/>
  <c r="D6" i="459"/>
  <c r="D7" i="459"/>
  <c r="D8" i="459"/>
  <c r="A23" i="226"/>
  <c r="A23" i="224"/>
  <c r="A23" i="222"/>
  <c r="A22" i="217"/>
  <c r="A23" i="215"/>
  <c r="A2" i="308"/>
  <c r="F24" i="78"/>
  <c r="D24" i="78"/>
  <c r="B24" i="78"/>
  <c r="H24" i="78" s="1"/>
  <c r="A24" i="78"/>
  <c r="C41" i="394"/>
  <c r="B23" i="395" s="1"/>
  <c r="B41" i="394"/>
  <c r="B22" i="283"/>
  <c r="A22" i="283"/>
  <c r="D20" i="444"/>
  <c r="E6" i="444"/>
  <c r="F6" i="444" s="1"/>
  <c r="E7" i="444"/>
  <c r="F7" i="444" s="1"/>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5" i="444"/>
  <c r="A15" i="276"/>
  <c r="B15" i="447"/>
  <c r="A15" i="72"/>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D5" i="450"/>
  <c r="C8" i="391"/>
  <c r="D8" i="391" s="1"/>
  <c r="C7" i="391"/>
  <c r="D7" i="391" s="1"/>
  <c r="C6" i="391"/>
  <c r="D6" i="391" s="1"/>
  <c r="D9" i="391" l="1"/>
  <c r="D23" i="395"/>
  <c r="G37" i="508"/>
  <c r="H5" i="452"/>
  <c r="E20" i="444"/>
  <c r="F5" i="444"/>
  <c r="A15" i="400" l="1"/>
  <c r="A16" i="449"/>
  <c r="A22" i="389"/>
  <c r="A22" i="385"/>
  <c r="A21" i="382"/>
  <c r="A2" i="381"/>
  <c r="A22" i="381"/>
  <c r="B22" i="380"/>
  <c r="A22" i="407"/>
  <c r="B22" i="435"/>
  <c r="B22" i="342"/>
  <c r="A22" i="434"/>
  <c r="A22" i="402"/>
  <c r="A23" i="427"/>
  <c r="A22" i="489"/>
  <c r="K19" i="333"/>
  <c r="K20" i="333"/>
  <c r="A22" i="333"/>
  <c r="B5" i="336"/>
  <c r="I22" i="335"/>
  <c r="H22" i="335"/>
  <c r="G22" i="335"/>
  <c r="D22" i="335"/>
  <c r="C22" i="335"/>
  <c r="B22" i="335"/>
  <c r="A22" i="335"/>
  <c r="H22" i="226" l="1"/>
  <c r="B24" i="224"/>
  <c r="E22" i="224"/>
  <c r="F22" i="224"/>
  <c r="F37" i="452"/>
  <c r="D22" i="215"/>
  <c r="E23" i="282"/>
  <c r="G23" i="282" s="1"/>
  <c r="E24" i="282"/>
  <c r="F24" i="282" s="1"/>
  <c r="C23" i="78"/>
  <c r="E23" i="78"/>
  <c r="G23" i="78"/>
  <c r="E21" i="283"/>
  <c r="C21" i="283"/>
  <c r="C9" i="391" l="1"/>
  <c r="E22" i="215"/>
  <c r="F22" i="215"/>
  <c r="G24" i="282"/>
  <c r="F23" i="282"/>
  <c r="C14" i="72" l="1"/>
  <c r="B14" i="72"/>
  <c r="D14" i="72"/>
  <c r="E14" i="72" s="1"/>
  <c r="D30" i="450"/>
  <c r="O21" i="441" s="1"/>
  <c r="E30" i="450"/>
  <c r="B9" i="391"/>
  <c r="E20" i="389"/>
  <c r="E21" i="389"/>
  <c r="D21" i="385"/>
  <c r="B21" i="384"/>
  <c r="A20" i="384"/>
  <c r="B20" i="384"/>
  <c r="C20" i="384"/>
  <c r="D20" i="384"/>
  <c r="E20" i="384"/>
  <c r="F20" i="384"/>
  <c r="G20" i="384"/>
  <c r="H20" i="384"/>
  <c r="J20" i="384"/>
  <c r="K20" i="384"/>
  <c r="L20" i="384"/>
  <c r="M20" i="384"/>
  <c r="E21" i="380"/>
  <c r="H21" i="380"/>
  <c r="N20" i="384" l="1"/>
  <c r="I20" i="384"/>
  <c r="D21" i="407"/>
  <c r="B21" i="377"/>
  <c r="E21" i="435"/>
  <c r="H21" i="435"/>
  <c r="E21" i="342"/>
  <c r="F21" i="342" s="1"/>
  <c r="G21" i="342"/>
  <c r="H21" i="342"/>
  <c r="F21" i="434"/>
  <c r="K21" i="434"/>
  <c r="C21" i="402"/>
  <c r="F21" i="402"/>
  <c r="G21" i="402" s="1"/>
  <c r="R21" i="427"/>
  <c r="J8" i="427"/>
  <c r="J9" i="427"/>
  <c r="J10" i="427"/>
  <c r="J11" i="427"/>
  <c r="J12" i="427"/>
  <c r="J13" i="427"/>
  <c r="J14" i="427"/>
  <c r="J15" i="427"/>
  <c r="J16" i="427"/>
  <c r="J17" i="427"/>
  <c r="J18" i="427"/>
  <c r="J19" i="427"/>
  <c r="J20" i="427"/>
  <c r="J21" i="427"/>
  <c r="J22" i="427"/>
  <c r="I22" i="427"/>
  <c r="L22" i="427"/>
  <c r="P22" i="427"/>
  <c r="F21" i="489"/>
  <c r="G21" i="489"/>
  <c r="H21" i="489"/>
  <c r="M22" i="427" l="1"/>
  <c r="Q22" i="427"/>
  <c r="O22" i="427"/>
  <c r="O21" i="427"/>
  <c r="Q21" i="427"/>
  <c r="S21" i="427"/>
  <c r="H21" i="402"/>
  <c r="I21" i="402"/>
  <c r="I21" i="435"/>
  <c r="L21" i="434"/>
  <c r="K22" i="427"/>
  <c r="N22" i="427"/>
  <c r="E21" i="333"/>
  <c r="D21" i="333"/>
  <c r="R22" i="427" l="1"/>
  <c r="S22" i="427"/>
  <c r="G13" i="465"/>
  <c r="H36"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AD13" i="226" l="1"/>
  <c r="H37" i="452"/>
  <c r="B15" i="72"/>
  <c r="B22" i="401"/>
  <c r="N21" i="408" s="1"/>
  <c r="E12" i="389"/>
  <c r="E13" i="389"/>
  <c r="E14" i="389"/>
  <c r="E15" i="389"/>
  <c r="E16" i="389"/>
  <c r="E17" i="389"/>
  <c r="E18" i="389"/>
  <c r="E19" i="389"/>
  <c r="D12" i="389"/>
  <c r="D13" i="389"/>
  <c r="D14" i="389"/>
  <c r="D15" i="389"/>
  <c r="D16" i="389"/>
  <c r="D17" i="389"/>
  <c r="D18" i="389"/>
  <c r="D19" i="389"/>
  <c r="D20" i="389"/>
  <c r="I12" i="355" l="1"/>
  <c r="I13" i="355"/>
  <c r="I14" i="355"/>
  <c r="I15" i="355"/>
  <c r="I16" i="355"/>
  <c r="I17" i="355"/>
  <c r="I18" i="355"/>
  <c r="I19" i="355"/>
  <c r="I20" i="355"/>
  <c r="I21" i="355"/>
  <c r="I22" i="355"/>
  <c r="I23" i="355"/>
  <c r="I24" i="355"/>
  <c r="I11" i="355"/>
  <c r="I29" i="355"/>
  <c r="I28" i="355"/>
  <c r="B22" i="385"/>
  <c r="B61" i="491"/>
  <c r="K6" i="333" l="1"/>
  <c r="K7" i="333"/>
  <c r="K8" i="333"/>
  <c r="K9" i="333"/>
  <c r="K10" i="333"/>
  <c r="K11" i="333"/>
  <c r="K12" i="333"/>
  <c r="K13" i="333"/>
  <c r="K14" i="333"/>
  <c r="K15" i="333"/>
  <c r="K16" i="333"/>
  <c r="K17" i="333"/>
  <c r="K18" i="333"/>
  <c r="K5" i="333"/>
  <c r="C22" i="333"/>
  <c r="K21" i="333" l="1"/>
  <c r="R38" i="405" s="1"/>
  <c r="C18" i="491"/>
  <c r="K41" i="491" l="1"/>
  <c r="O28" i="465"/>
  <c r="O13" i="465"/>
  <c r="Q8" i="459"/>
  <c r="Q9" i="459"/>
  <c r="Q7" i="459"/>
  <c r="Q6" i="459"/>
  <c r="J21" i="384" l="1"/>
  <c r="K21" i="384"/>
  <c r="L21" i="384"/>
  <c r="M21" i="384"/>
  <c r="C21" i="384"/>
  <c r="D21" i="384"/>
  <c r="E21" i="384"/>
  <c r="F21" i="384"/>
  <c r="G21" i="384"/>
  <c r="H21" i="384"/>
  <c r="I21" i="384" l="1"/>
  <c r="N21" i="384"/>
  <c r="N21" i="382" l="1"/>
  <c r="M28" i="465" l="1"/>
  <c r="N28" i="465"/>
  <c r="M13" i="465"/>
  <c r="N13" i="465"/>
  <c r="L28" i="465"/>
  <c r="L13" i="465"/>
  <c r="N32" i="415"/>
  <c r="N31" i="415"/>
  <c r="B21" i="383"/>
  <c r="C21" i="383"/>
  <c r="D21" i="383"/>
  <c r="E21" i="383"/>
  <c r="F21" i="383"/>
  <c r="G21" i="383"/>
  <c r="H21" i="383"/>
  <c r="J21" i="383"/>
  <c r="K21" i="383"/>
  <c r="L21" i="383"/>
  <c r="M21" i="383"/>
  <c r="M9" i="323"/>
  <c r="R20" i="503" l="1"/>
  <c r="R12" i="503"/>
  <c r="R1" i="503" l="1"/>
  <c r="AZ102" i="506" l="1"/>
  <c r="AZ101" i="506"/>
  <c r="AZ100" i="506"/>
  <c r="AZ93" i="506"/>
  <c r="O55" i="506"/>
  <c r="Q54" i="506"/>
  <c r="P54" i="506"/>
  <c r="R54" i="506" s="1"/>
  <c r="R53" i="506"/>
  <c r="R52" i="506"/>
  <c r="S43" i="506"/>
  <c r="S42" i="506"/>
  <c r="S45" i="506" s="1"/>
  <c r="R33" i="506"/>
  <c r="Q33" i="506"/>
  <c r="P33" i="506"/>
  <c r="S33" i="506" s="1"/>
  <c r="R32" i="506"/>
  <c r="Q32" i="506"/>
  <c r="P32" i="506"/>
  <c r="P34" i="506" l="1"/>
  <c r="S32" i="506"/>
  <c r="Q34" i="506"/>
  <c r="R34" i="506"/>
  <c r="S34" i="506"/>
  <c r="T32" i="506" s="1"/>
  <c r="P60" i="506" s="1"/>
  <c r="T33" i="506" l="1"/>
  <c r="Q60" i="506" s="1"/>
  <c r="AZ95" i="505" l="1"/>
  <c r="AZ94" i="505"/>
  <c r="AZ93" i="505"/>
  <c r="AZ86" i="505"/>
  <c r="O52" i="505"/>
  <c r="Q51" i="505"/>
  <c r="P51" i="505"/>
  <c r="R50" i="505"/>
  <c r="R49" i="505"/>
  <c r="S41" i="505"/>
  <c r="R32" i="505"/>
  <c r="Q32" i="505"/>
  <c r="P32" i="505"/>
  <c r="R31" i="505"/>
  <c r="Q31" i="505"/>
  <c r="P31" i="505"/>
  <c r="R51" i="505" l="1"/>
  <c r="S43" i="505"/>
  <c r="R33" i="505"/>
  <c r="P33" i="505"/>
  <c r="Q33" i="505"/>
  <c r="S31" i="505"/>
  <c r="S32" i="505"/>
  <c r="U30" i="503"/>
  <c r="U29" i="503"/>
  <c r="T30" i="503"/>
  <c r="T29" i="503"/>
  <c r="S30" i="503"/>
  <c r="S29" i="503"/>
  <c r="V39" i="503"/>
  <c r="V40" i="503"/>
  <c r="R53" i="503"/>
  <c r="U50" i="503"/>
  <c r="U51" i="503"/>
  <c r="S52" i="503"/>
  <c r="T52" i="503"/>
  <c r="S33" i="505" l="1"/>
  <c r="T31" i="505" s="1"/>
  <c r="P57" i="505" s="1"/>
  <c r="V43" i="503"/>
  <c r="U52" i="503"/>
  <c r="C15" i="72"/>
  <c r="T32" i="505" l="1"/>
  <c r="Q57" i="505" s="1"/>
  <c r="T31" i="404" l="1"/>
  <c r="Y43" i="504" l="1"/>
  <c r="X43" i="504"/>
  <c r="Z43" i="504" s="1"/>
  <c r="Z42" i="504"/>
  <c r="AK14" i="504" s="1"/>
  <c r="Z41" i="504"/>
  <c r="W33" i="504"/>
  <c r="W44" i="504" s="1"/>
  <c r="Z32" i="504"/>
  <c r="Y32" i="504"/>
  <c r="X32" i="504"/>
  <c r="AA32" i="504" s="1"/>
  <c r="AA31" i="504"/>
  <c r="AF14" i="504" s="1"/>
  <c r="AA30" i="504"/>
  <c r="AE14" i="504" s="1"/>
  <c r="AF21" i="504" s="1"/>
  <c r="AL29" i="504"/>
  <c r="AK30" i="504" s="1"/>
  <c r="AG29" i="504"/>
  <c r="AF30" i="504" s="1"/>
  <c r="Z21" i="504"/>
  <c r="Y21" i="504"/>
  <c r="X21" i="504"/>
  <c r="AA21" i="504" s="1"/>
  <c r="AF6" i="504" s="1"/>
  <c r="Z20" i="504"/>
  <c r="Z22" i="504" s="1"/>
  <c r="Y20" i="504"/>
  <c r="X20" i="504"/>
  <c r="AJ14" i="504"/>
  <c r="AL14" i="504" l="1"/>
  <c r="X22" i="504"/>
  <c r="Y22" i="504"/>
  <c r="U31" i="503"/>
  <c r="S31" i="503"/>
  <c r="T31" i="503"/>
  <c r="V30" i="503"/>
  <c r="V29" i="503"/>
  <c r="AK15" i="504"/>
  <c r="AF22" i="504"/>
  <c r="AA20" i="504"/>
  <c r="AE6" i="504" s="1"/>
  <c r="AG14" i="504"/>
  <c r="AE15" i="504" s="1"/>
  <c r="AJ30" i="504"/>
  <c r="AL30" i="504" s="1"/>
  <c r="AJ15" i="504"/>
  <c r="AL15" i="504" s="1"/>
  <c r="AE30" i="504"/>
  <c r="AG30" i="504" s="1"/>
  <c r="AA22" i="504" l="1"/>
  <c r="V31" i="503"/>
  <c r="W30" i="503" s="1"/>
  <c r="AJ4" i="504"/>
  <c r="AK4" i="504" s="1"/>
  <c r="AG6" i="504"/>
  <c r="AF7" i="504" s="1"/>
  <c r="AJ5" i="504"/>
  <c r="AK5" i="504" s="1"/>
  <c r="AF15" i="504"/>
  <c r="AG15" i="504" s="1"/>
  <c r="K15" i="503" l="1"/>
  <c r="T58" i="503"/>
  <c r="W29" i="503"/>
  <c r="AE7" i="504"/>
  <c r="AG7" i="504" s="1"/>
  <c r="H19" i="503" l="1"/>
  <c r="S58" i="503"/>
  <c r="BC103" i="503"/>
  <c r="BC102" i="503"/>
  <c r="BC101" i="503"/>
  <c r="BC94" i="503"/>
  <c r="B30" i="491" l="1"/>
  <c r="Q10" i="440" l="1"/>
  <c r="H13" i="491"/>
  <c r="B33" i="491" l="1"/>
  <c r="B37" i="452"/>
  <c r="C37" i="452"/>
  <c r="D37" i="452"/>
  <c r="E37" i="452"/>
  <c r="I12" i="452"/>
  <c r="I7" i="452"/>
  <c r="I8" i="452"/>
  <c r="I9" i="452"/>
  <c r="I10" i="452"/>
  <c r="I11" i="452"/>
  <c r="I15" i="452"/>
  <c r="C4" i="491" l="1"/>
  <c r="I6" i="452"/>
  <c r="I18" i="452"/>
  <c r="I17" i="452"/>
  <c r="I16" i="452"/>
  <c r="I34" i="452"/>
  <c r="I33" i="452"/>
  <c r="I32" i="452"/>
  <c r="I29" i="452"/>
  <c r="I31" i="452"/>
  <c r="I30" i="452"/>
  <c r="I25" i="452"/>
  <c r="I23" i="452"/>
  <c r="I28" i="452"/>
  <c r="I27" i="452"/>
  <c r="I26" i="452"/>
  <c r="I5" i="452"/>
  <c r="I22" i="452"/>
  <c r="I20" i="452"/>
  <c r="I24" i="452"/>
  <c r="I21" i="452"/>
  <c r="I36" i="452"/>
  <c r="I35" i="452"/>
  <c r="I19" i="452"/>
  <c r="I14" i="452"/>
  <c r="I13" i="452"/>
  <c r="N31" i="323"/>
  <c r="N29" i="323"/>
  <c r="I37" i="452" l="1"/>
  <c r="L36" i="323"/>
  <c r="O29" i="323"/>
  <c r="O16" i="440" l="1"/>
  <c r="O17" i="440"/>
  <c r="O18" i="440"/>
  <c r="O15" i="440"/>
  <c r="N16" i="440"/>
  <c r="N17" i="440"/>
  <c r="N18" i="440"/>
  <c r="N15" i="440"/>
  <c r="E85" i="491" l="1"/>
  <c r="F50" i="491" l="1"/>
  <c r="F10" i="491" s="1"/>
  <c r="F47" i="491" l="1"/>
  <c r="O56" i="405" l="1"/>
  <c r="O55" i="405"/>
  <c r="B93" i="491" l="1"/>
  <c r="E18" i="489" l="1"/>
  <c r="L41" i="491" l="1"/>
  <c r="P11" i="442" l="1"/>
  <c r="Q9" i="440" l="1"/>
  <c r="I25" i="355"/>
  <c r="W23" i="323" l="1"/>
  <c r="Q38" i="322"/>
  <c r="P38" i="322"/>
  <c r="N9" i="322"/>
  <c r="O9" i="322"/>
  <c r="O8" i="322"/>
  <c r="N8" i="322"/>
  <c r="R52" i="405"/>
  <c r="Q51" i="405"/>
  <c r="Q52" i="405" s="1"/>
  <c r="P51" i="405"/>
  <c r="P52" i="405" s="1"/>
  <c r="P29" i="405" l="1"/>
  <c r="P22" i="405"/>
  <c r="N4" i="333"/>
  <c r="N8" i="333"/>
  <c r="H100" i="491" l="1"/>
  <c r="M101" i="491"/>
  <c r="M102" i="491" s="1"/>
  <c r="E95" i="491"/>
  <c r="E105" i="491" s="1"/>
  <c r="H96" i="49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B45" i="491"/>
  <c r="C22" i="407" s="1"/>
  <c r="O27" i="407" s="1"/>
  <c r="E39" i="491"/>
  <c r="D23" i="427" s="1"/>
  <c r="D39" i="491"/>
  <c r="B23" i="427" s="1"/>
  <c r="C38" i="491"/>
  <c r="C37" i="491"/>
  <c r="E30" i="491"/>
  <c r="H23" i="427" s="1"/>
  <c r="D30" i="491"/>
  <c r="F23" i="427" s="1"/>
  <c r="J23" i="427" s="1"/>
  <c r="K28" i="491"/>
  <c r="C28" i="491"/>
  <c r="C27" i="491"/>
  <c r="C19" i="491"/>
  <c r="D14" i="491"/>
  <c r="B14" i="491"/>
  <c r="D7" i="491"/>
  <c r="C22" i="389" s="1"/>
  <c r="H74" i="491" l="1"/>
  <c r="M71" i="491" s="1"/>
  <c r="K42" i="491"/>
  <c r="B22" i="407"/>
  <c r="B22" i="389"/>
  <c r="C22" i="385"/>
  <c r="E22" i="389"/>
  <c r="J28" i="355" s="1"/>
  <c r="D22" i="389"/>
  <c r="J29" i="355" s="1"/>
  <c r="C20" i="491"/>
  <c r="C22" i="491" s="1"/>
  <c r="K24" i="333" s="1"/>
  <c r="P9" i="506"/>
  <c r="P8" i="505"/>
  <c r="G47" i="491"/>
  <c r="L28" i="491"/>
  <c r="C30" i="491"/>
  <c r="C39" i="491"/>
  <c r="E50" i="491"/>
  <c r="F14" i="491"/>
  <c r="N62" i="491" s="1"/>
  <c r="L63" i="491"/>
  <c r="K29" i="491"/>
  <c r="D22" i="491"/>
  <c r="G67" i="491" l="1"/>
  <c r="P27" i="407"/>
  <c r="B22" i="374"/>
  <c r="D22" i="374" s="1"/>
  <c r="B22" i="333"/>
  <c r="D4" i="491"/>
  <c r="F15" i="491"/>
  <c r="M63" i="491"/>
  <c r="L10" i="457" l="1"/>
  <c r="L11" i="457"/>
  <c r="L9" i="457"/>
  <c r="L8" i="457"/>
  <c r="L7" i="457"/>
  <c r="N23" i="441" l="1"/>
  <c r="K14" i="406" l="1"/>
  <c r="D22" i="333" l="1"/>
  <c r="S7" i="503"/>
  <c r="P7" i="506"/>
  <c r="P6" i="505"/>
  <c r="M20" i="333"/>
  <c r="A23" i="384"/>
  <c r="L18" i="443" l="1"/>
  <c r="L17" i="443"/>
  <c r="L16" i="443"/>
  <c r="L15" i="443"/>
  <c r="A7" i="490"/>
  <c r="A8" i="490"/>
  <c r="A9" i="490"/>
  <c r="A6" i="490"/>
  <c r="A5" i="490"/>
  <c r="B7" i="490"/>
  <c r="B8" i="490"/>
  <c r="B9" i="490"/>
  <c r="B6" i="490"/>
  <c r="B5" i="490"/>
  <c r="N36" i="441"/>
  <c r="N35" i="441"/>
  <c r="F30" i="450"/>
  <c r="B10" i="490" l="1"/>
  <c r="F11" i="490" l="1"/>
  <c r="F12" i="490"/>
  <c r="F13" i="490" s="1"/>
  <c r="C8" i="490"/>
  <c r="C9" i="490"/>
  <c r="C10" i="490"/>
  <c r="C7" i="490"/>
  <c r="C6" i="490"/>
  <c r="C5" i="490"/>
  <c r="D22" i="283"/>
  <c r="K22" i="283" s="1"/>
  <c r="C24" i="226" l="1"/>
  <c r="D24" i="226"/>
  <c r="E24" i="226"/>
  <c r="F24" i="226"/>
  <c r="B24" i="226"/>
  <c r="H21" i="226"/>
  <c r="A21" i="226"/>
  <c r="D21" i="224"/>
  <c r="F21" i="224" s="1"/>
  <c r="J21" i="217"/>
  <c r="A2" i="217"/>
  <c r="N30" i="415"/>
  <c r="D21" i="215"/>
  <c r="A2" i="215"/>
  <c r="F21" i="215" l="1"/>
  <c r="E21" i="224"/>
  <c r="L21" i="217"/>
  <c r="Q21" i="217"/>
  <c r="K21" i="217"/>
  <c r="M21" i="217"/>
  <c r="O21" i="217"/>
  <c r="R21" i="217"/>
  <c r="N21" i="217"/>
  <c r="P21" i="217"/>
  <c r="E21" i="215"/>
  <c r="C25" i="282"/>
  <c r="B25" i="282"/>
  <c r="A24" i="282"/>
  <c r="E21" i="282"/>
  <c r="F21" i="282" s="1"/>
  <c r="E22" i="282"/>
  <c r="F22" i="282" s="1"/>
  <c r="G21" i="78"/>
  <c r="G22" i="78"/>
  <c r="E21" i="78"/>
  <c r="E22" i="78"/>
  <c r="C22" i="78"/>
  <c r="A2" i="78"/>
  <c r="A2" i="490"/>
  <c r="A2" i="395"/>
  <c r="E18" i="283"/>
  <c r="E19" i="283"/>
  <c r="E20" i="283"/>
  <c r="C19" i="283"/>
  <c r="C20" i="283"/>
  <c r="C20" i="444"/>
  <c r="A2" i="444"/>
  <c r="A2" i="283"/>
  <c r="B13" i="447"/>
  <c r="C13" i="72"/>
  <c r="B13" i="72"/>
  <c r="D13" i="72"/>
  <c r="A2" i="177"/>
  <c r="A2" i="179"/>
  <c r="E13" i="72" l="1"/>
  <c r="E22" i="283"/>
  <c r="C22" i="283"/>
  <c r="G22" i="282"/>
  <c r="L24" i="78"/>
  <c r="C5" i="450"/>
  <c r="G21" i="282"/>
  <c r="I16" i="29" l="1"/>
  <c r="G19" i="40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D20" i="385"/>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D20" i="374" s="1"/>
  <c r="O11" i="407"/>
  <c r="A2" i="407"/>
  <c r="D20" i="407"/>
  <c r="A2" i="377"/>
  <c r="G22" i="377"/>
  <c r="F22" i="377"/>
  <c r="E22" i="377"/>
  <c r="D22" i="377"/>
  <c r="C22" i="377"/>
  <c r="B22" i="377" s="1"/>
  <c r="B19" i="377"/>
  <c r="B20" i="377"/>
  <c r="B18" i="377"/>
  <c r="N19" i="384" l="1"/>
  <c r="I19" i="384"/>
  <c r="O29" i="407"/>
  <c r="O17" i="383"/>
  <c r="O16" i="383"/>
  <c r="O18" i="383"/>
  <c r="O15" i="383"/>
  <c r="B15" i="272"/>
  <c r="I15" i="272" s="1"/>
  <c r="O20" i="383"/>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P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C22" i="489"/>
  <c r="E22" i="342" l="1"/>
  <c r="H20" i="402"/>
  <c r="I20" i="402"/>
  <c r="I19" i="402"/>
  <c r="I18" i="402"/>
  <c r="I17" i="402"/>
  <c r="M5" i="406"/>
  <c r="L18" i="434"/>
  <c r="L16" i="434"/>
  <c r="I6" i="435"/>
  <c r="I20" i="435"/>
  <c r="I16" i="435"/>
  <c r="I14" i="435"/>
  <c r="I13" i="435"/>
  <c r="I10" i="435"/>
  <c r="I9" i="435"/>
  <c r="L20" i="434"/>
  <c r="L19" i="434"/>
  <c r="Q34" i="405"/>
  <c r="O50" i="405" s="1"/>
  <c r="O44" i="405" s="1"/>
  <c r="P23" i="374"/>
  <c r="H22" i="342"/>
  <c r="L20" i="335"/>
  <c r="F22" i="434"/>
  <c r="K22" i="434"/>
  <c r="H22" i="435"/>
  <c r="I22" i="377"/>
  <c r="D22" i="489"/>
  <c r="T22" i="427" s="1"/>
  <c r="D22" i="407"/>
  <c r="L15" i="406" s="1"/>
  <c r="E22" i="435"/>
  <c r="B22" i="489"/>
  <c r="C22" i="402"/>
  <c r="F22" i="402"/>
  <c r="G22" i="402" s="1"/>
  <c r="I22" i="402" l="1"/>
  <c r="H22" i="402"/>
  <c r="L22" i="434"/>
  <c r="M22" i="434" s="1"/>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L22" i="489" s="1"/>
  <c r="E7" i="489"/>
  <c r="G7" i="489" s="1"/>
  <c r="E8" i="489"/>
  <c r="D6" i="215"/>
  <c r="D7" i="215"/>
  <c r="D8" i="215"/>
  <c r="M8" i="215" s="1"/>
  <c r="D9" i="215"/>
  <c r="D10" i="215"/>
  <c r="D11" i="215"/>
  <c r="D12" i="215"/>
  <c r="D13" i="215"/>
  <c r="M13" i="215" s="1"/>
  <c r="D14" i="215"/>
  <c r="D15" i="215"/>
  <c r="M15" i="215" s="1"/>
  <c r="D16" i="215"/>
  <c r="D17" i="215"/>
  <c r="M17" i="215" s="1"/>
  <c r="D18" i="215"/>
  <c r="D19" i="215"/>
  <c r="M19" i="215" s="1"/>
  <c r="D20" i="215"/>
  <c r="D23" i="215"/>
  <c r="D5" i="215"/>
  <c r="M14" i="215" l="1"/>
  <c r="M10" i="215"/>
  <c r="M16" i="215"/>
  <c r="M9" i="215"/>
  <c r="M11" i="215"/>
  <c r="M18" i="215"/>
  <c r="M7" i="215"/>
  <c r="M12" i="215"/>
  <c r="K32" i="415"/>
  <c r="N33" i="415"/>
  <c r="M20" i="215"/>
  <c r="M21" i="215"/>
  <c r="M6" i="215"/>
  <c r="M11" i="415"/>
  <c r="M23" i="215"/>
  <c r="F22" i="489"/>
  <c r="H22" i="489"/>
  <c r="H9" i="489"/>
  <c r="F9" i="489"/>
  <c r="G22" i="489"/>
  <c r="F7" i="489"/>
  <c r="H7" i="489"/>
  <c r="H8" i="489"/>
  <c r="F8" i="489"/>
  <c r="H11" i="489"/>
  <c r="F11" i="489"/>
  <c r="G8" i="489"/>
  <c r="G9" i="489"/>
  <c r="M25" i="215" l="1"/>
  <c r="M8" i="415" s="1"/>
  <c r="E20" i="481" l="1"/>
  <c r="G20" i="481"/>
  <c r="H20" i="481" s="1"/>
  <c r="C17" i="449" l="1"/>
  <c r="D17" i="449"/>
  <c r="E17" i="449"/>
  <c r="F17" i="449"/>
  <c r="O39" i="441" s="1"/>
  <c r="H17" i="449"/>
  <c r="I17" i="449"/>
  <c r="J17" i="449"/>
  <c r="O8" i="408" l="1"/>
  <c r="D7" i="395"/>
  <c r="D8" i="395"/>
  <c r="D9" i="395"/>
  <c r="D10" i="395"/>
  <c r="D11" i="395"/>
  <c r="D12" i="395"/>
  <c r="D13" i="395"/>
  <c r="D14" i="395"/>
  <c r="D15" i="395"/>
  <c r="D16" i="395"/>
  <c r="D17" i="395"/>
  <c r="D18" i="395"/>
  <c r="D19" i="395"/>
  <c r="D20" i="395"/>
  <c r="B9" i="179" l="1"/>
  <c r="B5" i="177" l="1"/>
  <c r="B11" i="177" s="1"/>
  <c r="C10" i="177"/>
  <c r="C8" i="179"/>
  <c r="C6" i="179"/>
  <c r="C7" i="179"/>
  <c r="C6" i="177" l="1"/>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9" i="440"/>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3" i="224"/>
  <c r="M13" i="415" s="1"/>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J24" i="222"/>
  <c r="D5" i="222"/>
  <c r="I23" i="217"/>
  <c r="H23" i="217"/>
  <c r="G23" i="217"/>
  <c r="F23" i="217"/>
  <c r="E23" i="217"/>
  <c r="D23" i="217"/>
  <c r="C23" i="217"/>
  <c r="B23"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O32" i="415" s="1"/>
  <c r="B24" i="215"/>
  <c r="O31" i="415" s="1"/>
  <c r="N38" i="415"/>
  <c r="N37" i="415"/>
  <c r="N36" i="415"/>
  <c r="N35" i="415"/>
  <c r="M32" i="415"/>
  <c r="M31" i="415"/>
  <c r="N7" i="415"/>
  <c r="N6" i="415"/>
  <c r="P10" i="440"/>
  <c r="E20" i="282"/>
  <c r="E19" i="282"/>
  <c r="E18" i="282"/>
  <c r="E17" i="282"/>
  <c r="E16" i="282"/>
  <c r="E15" i="282"/>
  <c r="E14" i="282"/>
  <c r="E13" i="282"/>
  <c r="E12" i="282"/>
  <c r="E11" i="282"/>
  <c r="E10" i="282"/>
  <c r="E9" i="282"/>
  <c r="E8" i="282"/>
  <c r="E7" i="282"/>
  <c r="E6" i="282"/>
  <c r="R8" i="440"/>
  <c r="Q8" i="440"/>
  <c r="P8" i="440"/>
  <c r="O8" i="440"/>
  <c r="I7" i="396"/>
  <c r="H7" i="396"/>
  <c r="G7" i="396"/>
  <c r="F7" i="396"/>
  <c r="E7" i="396"/>
  <c r="D7" i="396"/>
  <c r="C7" i="396"/>
  <c r="B7" i="396"/>
  <c r="J6" i="396"/>
  <c r="O29" i="438" s="1"/>
  <c r="J5" i="396"/>
  <c r="J4" i="396"/>
  <c r="J7" i="396" s="1"/>
  <c r="P30" i="438" s="1"/>
  <c r="I7" i="397"/>
  <c r="H7" i="397"/>
  <c r="G7" i="397"/>
  <c r="F7" i="397"/>
  <c r="E7" i="397"/>
  <c r="D7" i="397"/>
  <c r="C7" i="397"/>
  <c r="B7" i="397"/>
  <c r="N30" i="438"/>
  <c r="P29" i="438"/>
  <c r="N29" i="438"/>
  <c r="P28" i="438"/>
  <c r="O28" i="438"/>
  <c r="N28" i="438"/>
  <c r="P27" i="438"/>
  <c r="N27" i="438"/>
  <c r="P26" i="438"/>
  <c r="O26" i="438"/>
  <c r="N26" i="438"/>
  <c r="P23" i="438"/>
  <c r="O23" i="438"/>
  <c r="N23" i="438"/>
  <c r="P22" i="438"/>
  <c r="O22" i="438"/>
  <c r="N22" i="438"/>
  <c r="P21" i="438"/>
  <c r="O21" i="438"/>
  <c r="N21" i="438"/>
  <c r="P20" i="438"/>
  <c r="O20" i="438"/>
  <c r="N20" i="438"/>
  <c r="N19" i="438"/>
  <c r="J17" i="443"/>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6" i="395"/>
  <c r="M43" i="442"/>
  <c r="M42" i="442"/>
  <c r="C18" i="283"/>
  <c r="E17" i="283"/>
  <c r="B16" i="283"/>
  <c r="E15" i="283"/>
  <c r="B14" i="283"/>
  <c r="E12" i="283"/>
  <c r="C12" i="283"/>
  <c r="E11" i="283"/>
  <c r="C11" i="283"/>
  <c r="E10" i="283"/>
  <c r="C10" i="283"/>
  <c r="E9" i="283"/>
  <c r="C9" i="283"/>
  <c r="E8" i="283"/>
  <c r="C8" i="283"/>
  <c r="E7" i="283"/>
  <c r="C7" i="283"/>
  <c r="E6" i="283"/>
  <c r="C6" i="283"/>
  <c r="E5" i="283"/>
  <c r="B20" i="444"/>
  <c r="L44" i="442"/>
  <c r="L43" i="442"/>
  <c r="L42" i="442"/>
  <c r="L39" i="442"/>
  <c r="M38" i="442"/>
  <c r="L38" i="442"/>
  <c r="M37" i="442"/>
  <c r="L37" i="442"/>
  <c r="M36" i="442"/>
  <c r="L36" i="442"/>
  <c r="M35" i="442"/>
  <c r="L35" i="442"/>
  <c r="M34" i="442"/>
  <c r="L34" i="442"/>
  <c r="M33" i="442"/>
  <c r="L33" i="442"/>
  <c r="M32" i="442"/>
  <c r="L32" i="442"/>
  <c r="M31" i="442"/>
  <c r="L31" i="442"/>
  <c r="N30" i="442"/>
  <c r="M30" i="442"/>
  <c r="L30" i="442"/>
  <c r="M14" i="442"/>
  <c r="M11" i="442"/>
  <c r="B12" i="447"/>
  <c r="B11" i="447"/>
  <c r="B10" i="447"/>
  <c r="B9" i="447"/>
  <c r="B8" i="447"/>
  <c r="B7" i="447"/>
  <c r="B6" i="447"/>
  <c r="B5" i="447"/>
  <c r="D16" i="72"/>
  <c r="D15" i="72"/>
  <c r="A15" i="447"/>
  <c r="D12" i="72"/>
  <c r="B12" i="72"/>
  <c r="E12" i="72" s="1"/>
  <c r="D11" i="72"/>
  <c r="B11" i="72"/>
  <c r="E11" i="72" s="1"/>
  <c r="D10" i="72"/>
  <c r="C10" i="72"/>
  <c r="B10" i="72"/>
  <c r="D9" i="72"/>
  <c r="C9" i="72"/>
  <c r="B9" i="72"/>
  <c r="E9" i="72" s="1"/>
  <c r="D8" i="72"/>
  <c r="C8" i="72"/>
  <c r="B8" i="72"/>
  <c r="D7" i="72"/>
  <c r="C7" i="72"/>
  <c r="B7" i="72"/>
  <c r="D6" i="72"/>
  <c r="C6" i="72"/>
  <c r="B6" i="72"/>
  <c r="D5" i="72"/>
  <c r="C5" i="72"/>
  <c r="B5" i="72"/>
  <c r="N10" i="441"/>
  <c r="N9" i="441"/>
  <c r="N8" i="441"/>
  <c r="N7" i="441"/>
  <c r="N6" i="441"/>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O10" i="408"/>
  <c r="A21" i="401"/>
  <c r="G9" i="449"/>
  <c r="G8" i="449"/>
  <c r="G7" i="449"/>
  <c r="K6" i="449"/>
  <c r="G6" i="449"/>
  <c r="O27" i="408"/>
  <c r="O26" i="408"/>
  <c r="Q20" i="408"/>
  <c r="P20" i="408"/>
  <c r="O20" i="408"/>
  <c r="N20" i="408"/>
  <c r="N17" i="408"/>
  <c r="N16" i="408"/>
  <c r="O12" i="408"/>
  <c r="O11" i="408"/>
  <c r="C11" i="389"/>
  <c r="C10" i="389"/>
  <c r="C9" i="389"/>
  <c r="C8" i="389"/>
  <c r="C7" i="389"/>
  <c r="C6" i="389"/>
  <c r="C5" i="389"/>
  <c r="D5" i="389" s="1"/>
  <c r="AM22" i="386"/>
  <c r="AO21" i="386"/>
  <c r="AO20" i="386"/>
  <c r="AO19" i="386"/>
  <c r="D47" i="386"/>
  <c r="AO18" i="386"/>
  <c r="AO17" i="386"/>
  <c r="D45" i="386"/>
  <c r="E45" i="386"/>
  <c r="AO16" i="386"/>
  <c r="E44" i="386"/>
  <c r="AO15" i="386"/>
  <c r="D43" i="386"/>
  <c r="E43" i="386"/>
  <c r="AO14" i="386"/>
  <c r="D42" i="386"/>
  <c r="AO13" i="386"/>
  <c r="D41" i="386"/>
  <c r="AO12" i="386"/>
  <c r="D40" i="386"/>
  <c r="AO11" i="386"/>
  <c r="D39" i="386"/>
  <c r="AO10" i="386"/>
  <c r="D38" i="386"/>
  <c r="E38" i="386"/>
  <c r="AO9" i="386"/>
  <c r="E37" i="386"/>
  <c r="AN8" i="386"/>
  <c r="D36" i="386"/>
  <c r="E36" i="386"/>
  <c r="AN7" i="386"/>
  <c r="AN22" i="386" s="1"/>
  <c r="D35" i="386"/>
  <c r="D34" i="386"/>
  <c r="D18" i="385"/>
  <c r="D17" i="385"/>
  <c r="D16" i="385"/>
  <c r="D15" i="385"/>
  <c r="D14" i="385"/>
  <c r="D10" i="385"/>
  <c r="D9" i="385"/>
  <c r="D8" i="385"/>
  <c r="D7" i="385"/>
  <c r="D6" i="385"/>
  <c r="N12" i="355"/>
  <c r="N11" i="355"/>
  <c r="I10" i="355"/>
  <c r="I3" i="35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I21"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M35" i="406"/>
  <c r="M34" i="406"/>
  <c r="M33" i="406"/>
  <c r="M32" i="406"/>
  <c r="M31" i="406"/>
  <c r="M30" i="406"/>
  <c r="M29" i="406"/>
  <c r="M28" i="406"/>
  <c r="M27" i="406"/>
  <c r="M20" i="406"/>
  <c r="M17" i="406"/>
  <c r="B15" i="374"/>
  <c r="D15" i="374" s="1"/>
  <c r="K10" i="406"/>
  <c r="D18" i="407"/>
  <c r="D17" i="407"/>
  <c r="D16" i="407"/>
  <c r="D15" i="407"/>
  <c r="D14" i="407"/>
  <c r="D13" i="407"/>
  <c r="D12" i="407"/>
  <c r="P11" i="407"/>
  <c r="P29" i="407" s="1"/>
  <c r="D11" i="407"/>
  <c r="D10" i="407"/>
  <c r="D9" i="407"/>
  <c r="D8" i="407"/>
  <c r="O7" i="407"/>
  <c r="D7" i="407"/>
  <c r="D6" i="407"/>
  <c r="D5" i="407"/>
  <c r="K15" i="406" s="1"/>
  <c r="L36" i="406"/>
  <c r="L35" i="406"/>
  <c r="L34" i="406"/>
  <c r="L33" i="406"/>
  <c r="L32" i="406"/>
  <c r="L31" i="406"/>
  <c r="L30" i="406"/>
  <c r="L29" i="406"/>
  <c r="L28" i="406"/>
  <c r="L27" i="406"/>
  <c r="M26" i="406"/>
  <c r="L26" i="406"/>
  <c r="L17" i="406"/>
  <c r="L14" i="406"/>
  <c r="M9" i="406"/>
  <c r="L9" i="406"/>
  <c r="K9" i="406"/>
  <c r="M8" i="406"/>
  <c r="L8" i="406"/>
  <c r="L4" i="406"/>
  <c r="S31" i="324"/>
  <c r="R31" i="324"/>
  <c r="Q31" i="324"/>
  <c r="P31" i="324"/>
  <c r="O31" i="324"/>
  <c r="B16" i="377"/>
  <c r="B15" i="377"/>
  <c r="B14" i="377"/>
  <c r="B13" i="377"/>
  <c r="B12" i="377"/>
  <c r="B11" i="377"/>
  <c r="B10" i="377"/>
  <c r="B9" i="377"/>
  <c r="B8" i="377"/>
  <c r="B7" i="377"/>
  <c r="B6" i="377"/>
  <c r="S30" i="324"/>
  <c r="R30" i="324"/>
  <c r="Q30" i="324"/>
  <c r="P30" i="324"/>
  <c r="O30" i="324"/>
  <c r="L19" i="323"/>
  <c r="M16" i="323"/>
  <c r="L16" i="323"/>
  <c r="H5" i="435"/>
  <c r="I5" i="435" s="1"/>
  <c r="O8" i="402"/>
  <c r="O13" i="402" s="1"/>
  <c r="L10" i="323"/>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M15" i="323"/>
  <c r="L15" i="323"/>
  <c r="L14" i="323"/>
  <c r="Q9" i="323"/>
  <c r="P9" i="323"/>
  <c r="O9" i="323"/>
  <c r="N9" i="323"/>
  <c r="L9" i="323"/>
  <c r="O34" i="322"/>
  <c r="N34" i="322"/>
  <c r="O29" i="322"/>
  <c r="N29" i="322"/>
  <c r="M29" i="32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P13" i="322"/>
  <c r="O5" i="402"/>
  <c r="N13" i="402" s="1"/>
  <c r="N5" i="402"/>
  <c r="N12" i="402" s="1"/>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O33" i="322"/>
  <c r="N33" i="322"/>
  <c r="M33" i="322"/>
  <c r="M32" i="322"/>
  <c r="O28" i="322"/>
  <c r="N28" i="322"/>
  <c r="M28" i="322"/>
  <c r="M27" i="322"/>
  <c r="Q12" i="322"/>
  <c r="P12" i="322"/>
  <c r="O12" i="322"/>
  <c r="N12" i="322"/>
  <c r="M12" i="322"/>
  <c r="L20" i="427"/>
  <c r="P19" i="427"/>
  <c r="L19" i="427"/>
  <c r="I19" i="427"/>
  <c r="G19" i="427"/>
  <c r="E19" i="427"/>
  <c r="C19" i="427"/>
  <c r="P18" i="427"/>
  <c r="L18" i="427"/>
  <c r="I18" i="427"/>
  <c r="G18" i="427"/>
  <c r="E18" i="427"/>
  <c r="C18" i="427"/>
  <c r="P17" i="427"/>
  <c r="L17" i="427"/>
  <c r="I17" i="427"/>
  <c r="G17" i="427"/>
  <c r="E17" i="427"/>
  <c r="C17" i="427"/>
  <c r="P16" i="427"/>
  <c r="L16" i="427"/>
  <c r="I16" i="427"/>
  <c r="G16" i="427"/>
  <c r="E16" i="427"/>
  <c r="C16" i="427"/>
  <c r="P15" i="427"/>
  <c r="L15" i="427"/>
  <c r="I15" i="427"/>
  <c r="G15" i="427"/>
  <c r="E15" i="427"/>
  <c r="C15" i="427"/>
  <c r="P14" i="427"/>
  <c r="L14" i="427"/>
  <c r="I14" i="427"/>
  <c r="G14" i="427"/>
  <c r="E14" i="427"/>
  <c r="C14" i="427"/>
  <c r="P13" i="427"/>
  <c r="L13" i="427"/>
  <c r="I13" i="427"/>
  <c r="G13" i="427"/>
  <c r="E13" i="427"/>
  <c r="C13" i="427"/>
  <c r="P12" i="427"/>
  <c r="L12" i="427"/>
  <c r="I12" i="427"/>
  <c r="G12" i="427"/>
  <c r="E12" i="427"/>
  <c r="C12" i="427"/>
  <c r="P11" i="427"/>
  <c r="L11" i="427"/>
  <c r="I11" i="427"/>
  <c r="G11" i="427"/>
  <c r="E11" i="427"/>
  <c r="C11" i="427"/>
  <c r="P10" i="427"/>
  <c r="L10" i="427"/>
  <c r="I10" i="427"/>
  <c r="G10" i="427"/>
  <c r="E10" i="427"/>
  <c r="C10" i="427"/>
  <c r="P9" i="427"/>
  <c r="L9" i="427"/>
  <c r="I9" i="427"/>
  <c r="G9" i="427"/>
  <c r="E9" i="427"/>
  <c r="C9" i="427"/>
  <c r="P8" i="427"/>
  <c r="L8" i="427"/>
  <c r="O8" i="427"/>
  <c r="I8" i="427"/>
  <c r="G8" i="427"/>
  <c r="E8" i="427"/>
  <c r="C8" i="427"/>
  <c r="L7" i="427"/>
  <c r="J7" i="427"/>
  <c r="L6" i="427"/>
  <c r="J6" i="427"/>
  <c r="N6" i="427" s="1"/>
  <c r="J5" i="427"/>
  <c r="N5" i="427" s="1"/>
  <c r="Q37" i="405"/>
  <c r="E19" i="333"/>
  <c r="D19" i="333"/>
  <c r="E18" i="333"/>
  <c r="D18" i="333"/>
  <c r="E17" i="333"/>
  <c r="D17" i="333"/>
  <c r="D16" i="333"/>
  <c r="D14" i="333"/>
  <c r="Q43" i="405"/>
  <c r="P43" i="405"/>
  <c r="P38" i="405"/>
  <c r="O35" i="404"/>
  <c r="M35" i="404"/>
  <c r="O34" i="404"/>
  <c r="M34" i="404"/>
  <c r="O33" i="404"/>
  <c r="M33" i="404"/>
  <c r="M32" i="404"/>
  <c r="O31" i="404"/>
  <c r="M31" i="404"/>
  <c r="O30" i="404"/>
  <c r="M30" i="404"/>
  <c r="O29" i="404"/>
  <c r="M29" i="404"/>
  <c r="O28" i="404"/>
  <c r="M28" i="404"/>
  <c r="O27" i="404"/>
  <c r="M20" i="404"/>
  <c r="M19" i="404"/>
  <c r="M18" i="404"/>
  <c r="K22" i="335"/>
  <c r="M15" i="404" s="1"/>
  <c r="M14" i="404"/>
  <c r="M13" i="404"/>
  <c r="M12" i="404"/>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L36" i="404"/>
  <c r="L35" i="404"/>
  <c r="L34" i="404"/>
  <c r="L33" i="404"/>
  <c r="O32" i="404"/>
  <c r="L32" i="404"/>
  <c r="L31" i="404"/>
  <c r="L30" i="404"/>
  <c r="L29" i="404"/>
  <c r="L28" i="404"/>
  <c r="L27" i="404"/>
  <c r="P26" i="404"/>
  <c r="O26" i="404"/>
  <c r="N26" i="404"/>
  <c r="M26" i="404"/>
  <c r="L26" i="404"/>
  <c r="L21" i="404"/>
  <c r="L20" i="404"/>
  <c r="L19" i="404"/>
  <c r="L18" i="404"/>
  <c r="L17" i="404"/>
  <c r="L15" i="404"/>
  <c r="L14" i="404"/>
  <c r="L13" i="404"/>
  <c r="L12" i="404"/>
  <c r="L11" i="404"/>
  <c r="G19" i="481"/>
  <c r="H19" i="481" s="1"/>
  <c r="E19" i="481"/>
  <c r="G18" i="481"/>
  <c r="H18" i="481" s="1"/>
  <c r="C18" i="481"/>
  <c r="G17" i="481"/>
  <c r="H17" i="481" s="1"/>
  <c r="G16" i="481"/>
  <c r="H16" i="481" s="1"/>
  <c r="G15" i="481"/>
  <c r="H15" i="481" s="1"/>
  <c r="G14" i="481"/>
  <c r="H14" i="481" s="1"/>
  <c r="G13" i="481"/>
  <c r="H13" i="481" s="1"/>
  <c r="G12" i="481"/>
  <c r="H12" i="481" s="1"/>
  <c r="G11" i="481"/>
  <c r="H11" i="481" s="1"/>
  <c r="D11" i="481"/>
  <c r="G10" i="481"/>
  <c r="H10" i="481" s="1"/>
  <c r="D10" i="481"/>
  <c r="G9" i="481"/>
  <c r="H9" i="481" s="1"/>
  <c r="D9" i="481"/>
  <c r="G8" i="481"/>
  <c r="H8" i="481" s="1"/>
  <c r="D8" i="481"/>
  <c r="D7" i="481"/>
  <c r="Q211" i="479"/>
  <c r="Q210" i="479"/>
  <c r="Q209" i="479"/>
  <c r="Q208" i="479"/>
  <c r="D40" i="474"/>
  <c r="D4" i="474"/>
  <c r="E10" i="72" l="1"/>
  <c r="C30" i="450"/>
  <c r="O20" i="441" s="1"/>
  <c r="Q9" i="427"/>
  <c r="O9" i="427"/>
  <c r="Q10" i="427"/>
  <c r="O10" i="427"/>
  <c r="Q11" i="427"/>
  <c r="O11" i="427"/>
  <c r="Q12" i="427"/>
  <c r="O12" i="427"/>
  <c r="Q13" i="427"/>
  <c r="O13" i="427"/>
  <c r="Q14" i="427"/>
  <c r="O14" i="427"/>
  <c r="Q15" i="427"/>
  <c r="O15" i="427"/>
  <c r="Q16" i="427"/>
  <c r="O16" i="427"/>
  <c r="Q17" i="427"/>
  <c r="O17" i="427"/>
  <c r="Q18" i="427"/>
  <c r="O18" i="427"/>
  <c r="Q19" i="427"/>
  <c r="O19" i="427"/>
  <c r="Q20" i="427"/>
  <c r="O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8" i="72"/>
  <c r="C7" i="78"/>
  <c r="G15" i="78"/>
  <c r="G19" i="78"/>
  <c r="E7" i="78"/>
  <c r="O30" i="438"/>
  <c r="E12" i="78"/>
  <c r="C17" i="78"/>
  <c r="E5" i="72"/>
  <c r="E17" i="78"/>
  <c r="L6" i="434"/>
  <c r="L10" i="434"/>
  <c r="C9" i="78"/>
  <c r="O27" i="438"/>
  <c r="E6" i="72"/>
  <c r="E25" i="282"/>
  <c r="E7" i="72"/>
  <c r="N7" i="427"/>
  <c r="C15" i="78"/>
  <c r="C19" i="78"/>
  <c r="O9" i="383"/>
  <c r="I21" i="383"/>
  <c r="N21" i="383"/>
  <c r="L5" i="434"/>
  <c r="L8" i="434"/>
  <c r="L11" i="434"/>
  <c r="L18" i="335"/>
  <c r="L19" i="335"/>
  <c r="Q8" i="427"/>
  <c r="N9" i="406"/>
  <c r="O16" i="408"/>
  <c r="O17" i="408"/>
  <c r="O21" i="408"/>
  <c r="P21" i="408"/>
  <c r="Q21" i="408"/>
  <c r="G20" i="78"/>
  <c r="E20" i="78"/>
  <c r="N22" i="217"/>
  <c r="O28" i="408"/>
  <c r="O17" i="323"/>
  <c r="O13" i="408"/>
  <c r="O12" i="323"/>
  <c r="P5" i="402"/>
  <c r="N14" i="402" s="1"/>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K9" i="427"/>
  <c r="M9" i="427"/>
  <c r="N10" i="427"/>
  <c r="K10" i="427"/>
  <c r="M10" i="427"/>
  <c r="N11" i="427"/>
  <c r="K11" i="427"/>
  <c r="M11" i="427"/>
  <c r="N12" i="427"/>
  <c r="K12" i="427"/>
  <c r="M12" i="427"/>
  <c r="N13" i="427"/>
  <c r="K13" i="427"/>
  <c r="M13" i="427"/>
  <c r="N14" i="427"/>
  <c r="K14" i="427"/>
  <c r="M14" i="427"/>
  <c r="N15" i="427"/>
  <c r="K15" i="427"/>
  <c r="M15" i="427"/>
  <c r="N16" i="427"/>
  <c r="K16" i="427"/>
  <c r="M16" i="427"/>
  <c r="N17" i="427"/>
  <c r="K17" i="427"/>
  <c r="M17" i="427"/>
  <c r="N18" i="427"/>
  <c r="K18" i="427"/>
  <c r="M18" i="427"/>
  <c r="N19" i="427"/>
  <c r="K19" i="427"/>
  <c r="M19" i="427"/>
  <c r="N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J16" i="443"/>
  <c r="R9" i="440"/>
  <c r="O10" i="440"/>
  <c r="H22" i="380"/>
  <c r="O23" i="380" s="1"/>
  <c r="M13" i="322"/>
  <c r="A20" i="383"/>
  <c r="M5" i="402"/>
  <c r="E7" i="224"/>
  <c r="O12" i="217"/>
  <c r="R7" i="217"/>
  <c r="P13" i="217"/>
  <c r="L9" i="217"/>
  <c r="R9" i="217"/>
  <c r="M15" i="217"/>
  <c r="O6" i="217"/>
  <c r="F23" i="215"/>
  <c r="B16" i="447"/>
  <c r="O40" i="441" s="1"/>
  <c r="K17" i="449"/>
  <c r="N5" i="441" s="1"/>
  <c r="C16" i="72"/>
  <c r="Q27" i="406"/>
  <c r="M19" i="406"/>
  <c r="N13" i="322"/>
  <c r="O13" i="322"/>
  <c r="P9" i="440"/>
  <c r="B14" i="273"/>
  <c r="J15" i="273" s="1"/>
  <c r="M18" i="406"/>
  <c r="B18" i="386"/>
  <c r="G18" i="386" s="1"/>
  <c r="B7" i="386"/>
  <c r="G7" i="386" s="1"/>
  <c r="O9" i="440"/>
  <c r="M44" i="442"/>
  <c r="L5" i="406"/>
  <c r="A22" i="374"/>
  <c r="M8" i="402"/>
  <c r="F20" i="444"/>
  <c r="F25" i="78"/>
  <c r="J15" i="443"/>
  <c r="B9" i="386"/>
  <c r="G9" i="386" s="1"/>
  <c r="D44" i="386"/>
  <c r="N19" i="323"/>
  <c r="J22" i="434"/>
  <c r="F22" i="335"/>
  <c r="C5" i="179"/>
  <c r="C9" i="179" s="1"/>
  <c r="C5" i="177"/>
  <c r="C11" i="177" s="1"/>
  <c r="J21" i="401"/>
  <c r="B16" i="72"/>
  <c r="E15" i="72"/>
  <c r="O9" i="408"/>
  <c r="O7" i="408" s="1"/>
  <c r="G17" i="449"/>
  <c r="N4" i="441" s="1"/>
  <c r="I12" i="384"/>
  <c r="O10" i="383"/>
  <c r="I7" i="384"/>
  <c r="O8" i="383"/>
  <c r="N10" i="384"/>
  <c r="N12" i="384"/>
  <c r="N9" i="384"/>
  <c r="N6" i="384"/>
  <c r="N7" i="384"/>
  <c r="N11" i="384"/>
  <c r="N8" i="384"/>
  <c r="O21" i="382"/>
  <c r="O5" i="383"/>
  <c r="I6" i="384"/>
  <c r="I22" i="384" s="1"/>
  <c r="D14" i="336"/>
  <c r="M27" i="404"/>
  <c r="B14" i="336"/>
  <c r="D46" i="386"/>
  <c r="B14" i="386"/>
  <c r="E14" i="386" s="1"/>
  <c r="O20" i="355"/>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O19" i="355"/>
  <c r="B8" i="386"/>
  <c r="G8" i="386" s="1"/>
  <c r="E35" i="386"/>
  <c r="E34" i="386"/>
  <c r="B6" i="386"/>
  <c r="G6" i="386" s="1"/>
  <c r="E33" i="386"/>
  <c r="D21" i="386"/>
  <c r="O19" i="404"/>
  <c r="J22" i="335"/>
  <c r="O14" i="404"/>
  <c r="N31" i="324"/>
  <c r="Q32" i="324" s="1"/>
  <c r="M19" i="323"/>
  <c r="O20" i="323" s="1"/>
  <c r="L23" i="427"/>
  <c r="Q10" i="323"/>
  <c r="M10" i="323"/>
  <c r="N8" i="402"/>
  <c r="O12" i="402" s="1"/>
  <c r="N19" i="322"/>
  <c r="P34" i="322"/>
  <c r="M34" i="322"/>
  <c r="P23" i="427"/>
  <c r="E22" i="434"/>
  <c r="N38" i="322"/>
  <c r="I23" i="427"/>
  <c r="M27" i="442"/>
  <c r="L26" i="442"/>
  <c r="M26" i="442" s="1"/>
  <c r="L27" i="442"/>
  <c r="H5" i="226"/>
  <c r="H24" i="226" s="1"/>
  <c r="F5" i="224"/>
  <c r="F13" i="224"/>
  <c r="E15" i="224"/>
  <c r="E19" i="224"/>
  <c r="E11" i="224"/>
  <c r="F9" i="224"/>
  <c r="F17" i="224"/>
  <c r="E6" i="224"/>
  <c r="E10" i="224"/>
  <c r="E14" i="224"/>
  <c r="E18" i="224"/>
  <c r="E23" i="224"/>
  <c r="F23" i="224"/>
  <c r="M12" i="415"/>
  <c r="D24" i="224"/>
  <c r="E24" i="224" s="1"/>
  <c r="M37" i="415" s="1"/>
  <c r="L27" i="224"/>
  <c r="E8" i="224"/>
  <c r="E12" i="224"/>
  <c r="E16" i="224"/>
  <c r="E20" i="224"/>
  <c r="D24" i="222"/>
  <c r="E5" i="222"/>
  <c r="F5"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3" i="215"/>
  <c r="N19" i="226"/>
  <c r="M12" i="406"/>
  <c r="M10" i="406"/>
  <c r="E22" i="380"/>
  <c r="L22" i="335" l="1"/>
  <c r="N23" i="427"/>
  <c r="T23" i="427" s="1"/>
  <c r="N22" i="384"/>
  <c r="S20" i="427"/>
  <c r="R20" i="427"/>
  <c r="S19" i="427"/>
  <c r="R19" i="427"/>
  <c r="S18" i="427"/>
  <c r="R18" i="427"/>
  <c r="S17" i="427"/>
  <c r="R17" i="427"/>
  <c r="S16" i="427"/>
  <c r="R16" i="427"/>
  <c r="S15" i="427"/>
  <c r="R15" i="427"/>
  <c r="S14" i="427"/>
  <c r="R14" i="427"/>
  <c r="S13" i="427"/>
  <c r="R13" i="427"/>
  <c r="S12" i="427"/>
  <c r="R12" i="427"/>
  <c r="S11" i="427"/>
  <c r="R11" i="427"/>
  <c r="S10" i="427"/>
  <c r="R10" i="427"/>
  <c r="S9" i="427"/>
  <c r="R9" i="427"/>
  <c r="Q23" i="427"/>
  <c r="O23" i="427"/>
  <c r="D23" i="389"/>
  <c r="E23" i="389"/>
  <c r="R21" i="408"/>
  <c r="N22" i="408" s="1"/>
  <c r="M5" i="415"/>
  <c r="O33" i="415"/>
  <c r="O21" i="383"/>
  <c r="S8" i="503"/>
  <c r="P8" i="506"/>
  <c r="P7" i="505"/>
  <c r="O18" i="408"/>
  <c r="P16" i="408" s="1"/>
  <c r="Q28" i="406"/>
  <c r="O36" i="441"/>
  <c r="C6" i="273"/>
  <c r="E11" i="336"/>
  <c r="O12" i="355"/>
  <c r="P20" i="355" s="1"/>
  <c r="N24" i="406"/>
  <c r="M17" i="404"/>
  <c r="N18" i="404" s="1"/>
  <c r="E24" i="215"/>
  <c r="O22" i="355"/>
  <c r="N20" i="323"/>
  <c r="R20" i="323"/>
  <c r="R21" i="323" s="1"/>
  <c r="R19" i="323"/>
  <c r="O13" i="323"/>
  <c r="N23" i="406"/>
  <c r="B22" i="381"/>
  <c r="G22" i="342"/>
  <c r="N19" i="342"/>
  <c r="F22" i="342"/>
  <c r="G24" i="78"/>
  <c r="E24" i="78"/>
  <c r="B16" i="276"/>
  <c r="M10" i="442" s="1"/>
  <c r="E16" i="386"/>
  <c r="O22" i="382"/>
  <c r="M23" i="406"/>
  <c r="P29" i="322"/>
  <c r="M11" i="404"/>
  <c r="N13" i="404" s="1"/>
  <c r="F24" i="215"/>
  <c r="K29" i="415" s="1"/>
  <c r="N17" i="322"/>
  <c r="D5" i="333"/>
  <c r="D13" i="385"/>
  <c r="D12" i="385"/>
  <c r="D11" i="385"/>
  <c r="N18" i="322"/>
  <c r="C13" i="273"/>
  <c r="N19" i="406"/>
  <c r="G25" i="282"/>
  <c r="F25" i="282"/>
  <c r="R10" i="440"/>
  <c r="E7" i="386"/>
  <c r="L12" i="406"/>
  <c r="N10" i="406"/>
  <c r="O33" i="407"/>
  <c r="O35" i="407" s="1"/>
  <c r="L10" i="406"/>
  <c r="O10" i="406" s="1"/>
  <c r="F24" i="222"/>
  <c r="M36" i="415" s="1"/>
  <c r="P12" i="408"/>
  <c r="C5" i="273"/>
  <c r="C8" i="273"/>
  <c r="C9" i="273"/>
  <c r="C10" i="273"/>
  <c r="C12" i="273"/>
  <c r="C11" i="273"/>
  <c r="M36" i="406"/>
  <c r="C7" i="273"/>
  <c r="E18" i="386"/>
  <c r="G14" i="386"/>
  <c r="E10" i="386"/>
  <c r="N22" i="322"/>
  <c r="N23" i="322"/>
  <c r="N23" i="434"/>
  <c r="E9" i="386"/>
  <c r="L20" i="323"/>
  <c r="E5" i="386"/>
  <c r="M20" i="323"/>
  <c r="H25" i="78"/>
  <c r="C24" i="78"/>
  <c r="J18" i="443"/>
  <c r="K15" i="443" s="1"/>
  <c r="P32" i="324"/>
  <c r="N18" i="406"/>
  <c r="C13" i="272"/>
  <c r="C7" i="272"/>
  <c r="C12" i="272"/>
  <c r="C11" i="272"/>
  <c r="C6" i="272"/>
  <c r="C10" i="272"/>
  <c r="C5" i="272"/>
  <c r="C9" i="272"/>
  <c r="C14" i="272"/>
  <c r="I7" i="272" s="1"/>
  <c r="C8" i="272"/>
  <c r="N17" i="406"/>
  <c r="N20" i="406"/>
  <c r="E19" i="386"/>
  <c r="O35" i="441"/>
  <c r="E16" i="72"/>
  <c r="E5" i="336"/>
  <c r="E13" i="336"/>
  <c r="E9" i="336"/>
  <c r="O36" i="404"/>
  <c r="E6" i="336"/>
  <c r="E10" i="336"/>
  <c r="E8" i="336"/>
  <c r="E12" i="336"/>
  <c r="E7" i="336"/>
  <c r="C12" i="336"/>
  <c r="C9" i="336"/>
  <c r="C6" i="336"/>
  <c r="K17" i="336"/>
  <c r="C11" i="336"/>
  <c r="C8" i="336"/>
  <c r="C13" i="336"/>
  <c r="C10" i="336"/>
  <c r="C7" i="336"/>
  <c r="M36" i="404"/>
  <c r="C5" i="336"/>
  <c r="E13" i="386"/>
  <c r="E12" i="386"/>
  <c r="E11" i="386"/>
  <c r="E6" i="386"/>
  <c r="E20" i="386"/>
  <c r="E17" i="386"/>
  <c r="E15" i="386"/>
  <c r="D22" i="385"/>
  <c r="I4" i="355"/>
  <c r="E8" i="386"/>
  <c r="B21" i="386"/>
  <c r="O11" i="355"/>
  <c r="K19" i="336"/>
  <c r="N32" i="324"/>
  <c r="O32" i="324"/>
  <c r="R32" i="324"/>
  <c r="S32" i="324"/>
  <c r="N16" i="323"/>
  <c r="L22" i="435"/>
  <c r="N10" i="323"/>
  <c r="M13" i="323" s="1"/>
  <c r="Q13" i="322"/>
  <c r="N39" i="322"/>
  <c r="M35" i="322"/>
  <c r="P35" i="322"/>
  <c r="O35" i="322"/>
  <c r="N35" i="322"/>
  <c r="M23" i="427"/>
  <c r="K23" i="427"/>
  <c r="F25" i="226"/>
  <c r="E25" i="226"/>
  <c r="B25" i="226"/>
  <c r="M20" i="415" s="1"/>
  <c r="D25" i="226"/>
  <c r="C25" i="226"/>
  <c r="G25" i="226"/>
  <c r="H25" i="226"/>
  <c r="F24" i="224"/>
  <c r="M38" i="415" s="1"/>
  <c r="E24" i="222"/>
  <c r="M35" i="415" s="1"/>
  <c r="O23" i="217"/>
  <c r="N23" i="217"/>
  <c r="M23" i="217"/>
  <c r="R23" i="217"/>
  <c r="J36" i="217"/>
  <c r="P23" i="217"/>
  <c r="Q23" i="217"/>
  <c r="L23" i="217"/>
  <c r="K23" i="217"/>
  <c r="M24" i="406"/>
  <c r="C5" i="386" l="1"/>
  <c r="J11" i="355" s="1"/>
  <c r="M25" i="386"/>
  <c r="Q22" i="408"/>
  <c r="P22" i="408"/>
  <c r="O22" i="408"/>
  <c r="N23" i="408" s="1"/>
  <c r="S23" i="427"/>
  <c r="R23" i="427"/>
  <c r="B10" i="479" s="1"/>
  <c r="P17" i="408"/>
  <c r="O24" i="406"/>
  <c r="O23" i="406"/>
  <c r="K28" i="415"/>
  <c r="M6" i="415"/>
  <c r="D10" i="479"/>
  <c r="T33" i="404"/>
  <c r="T32" i="404" s="1"/>
  <c r="U32" i="404" s="1"/>
  <c r="S27" i="404"/>
  <c r="N17" i="404"/>
  <c r="N20" i="404"/>
  <c r="N19" i="404"/>
  <c r="B23" i="381"/>
  <c r="Q26" i="406" s="1"/>
  <c r="R22" i="381"/>
  <c r="N35" i="406"/>
  <c r="N29" i="406"/>
  <c r="N33" i="406"/>
  <c r="N32" i="406"/>
  <c r="N31" i="406"/>
  <c r="N30" i="406"/>
  <c r="N27" i="406"/>
  <c r="N34" i="406"/>
  <c r="N28" i="406"/>
  <c r="P30" i="404"/>
  <c r="P28" i="404"/>
  <c r="N29" i="404"/>
  <c r="P32" i="404"/>
  <c r="P31" i="404"/>
  <c r="N33" i="404"/>
  <c r="P35" i="404"/>
  <c r="P27" i="404"/>
  <c r="N32" i="404"/>
  <c r="N28" i="404"/>
  <c r="N30" i="404"/>
  <c r="N31" i="404"/>
  <c r="N35" i="404"/>
  <c r="N34" i="404"/>
  <c r="P29" i="404"/>
  <c r="P34" i="404"/>
  <c r="P33" i="404"/>
  <c r="O10" i="323"/>
  <c r="P10" i="323"/>
  <c r="Q44" i="405"/>
  <c r="P55" i="405"/>
  <c r="P56" i="405"/>
  <c r="P44" i="405"/>
  <c r="N21" i="404"/>
  <c r="S14" i="323"/>
  <c r="S15" i="323"/>
  <c r="S16" i="323" s="1"/>
  <c r="O30" i="322"/>
  <c r="Q30" i="322"/>
  <c r="Q35" i="322"/>
  <c r="M21" i="415"/>
  <c r="L23" i="355"/>
  <c r="P19" i="355"/>
  <c r="O13" i="355"/>
  <c r="O14" i="355" s="1"/>
  <c r="N40" i="322"/>
  <c r="N30" i="322"/>
  <c r="P30" i="322"/>
  <c r="M30" i="322"/>
  <c r="R32" i="322" s="1"/>
  <c r="P23" i="408"/>
  <c r="O13" i="404"/>
  <c r="N12" i="404"/>
  <c r="N14" i="404"/>
  <c r="N11" i="404"/>
  <c r="N15" i="404"/>
  <c r="M7" i="415"/>
  <c r="P10" i="408"/>
  <c r="P11" i="408"/>
  <c r="P8" i="408"/>
  <c r="P9" i="408"/>
  <c r="O3" i="407"/>
  <c r="E6" i="333"/>
  <c r="D6" i="333"/>
  <c r="E7" i="333"/>
  <c r="D7" i="333"/>
  <c r="E8" i="333"/>
  <c r="D8" i="333"/>
  <c r="E9" i="333"/>
  <c r="D9" i="333"/>
  <c r="E10" i="333"/>
  <c r="D10" i="333"/>
  <c r="E11" i="333"/>
  <c r="D11" i="333"/>
  <c r="E12" i="333"/>
  <c r="M15" i="406"/>
  <c r="N21" i="406"/>
  <c r="C14" i="273"/>
  <c r="N24" i="322"/>
  <c r="O24" i="322" s="1"/>
  <c r="J19" i="443"/>
  <c r="K19" i="443" s="1"/>
  <c r="K17" i="443"/>
  <c r="K16" i="443"/>
  <c r="J6" i="443"/>
  <c r="E25" i="78"/>
  <c r="J11" i="443" s="1"/>
  <c r="G25" i="78"/>
  <c r="J12" i="443" s="1"/>
  <c r="C25" i="78"/>
  <c r="J10" i="443" s="1"/>
  <c r="I5" i="272"/>
  <c r="I6" i="272"/>
  <c r="E14" i="336"/>
  <c r="N27" i="404"/>
  <c r="C14" i="336"/>
  <c r="G21" i="386"/>
  <c r="C8" i="386"/>
  <c r="J14" i="355" s="1"/>
  <c r="C15" i="386"/>
  <c r="C9" i="386"/>
  <c r="M22" i="386"/>
  <c r="C19" i="386"/>
  <c r="C17" i="386"/>
  <c r="C14" i="386"/>
  <c r="C12" i="386"/>
  <c r="C20" i="386"/>
  <c r="C7" i="386"/>
  <c r="J13" i="355" s="1"/>
  <c r="C11" i="386"/>
  <c r="C18" i="386"/>
  <c r="C6" i="386"/>
  <c r="J12" i="355" s="1"/>
  <c r="C10" i="386"/>
  <c r="C16" i="386"/>
  <c r="C13" i="386"/>
  <c r="E21" i="386"/>
  <c r="M26" i="323"/>
  <c r="M25" i="323"/>
  <c r="M17" i="323"/>
  <c r="N17" i="323"/>
  <c r="L17" i="323"/>
  <c r="M12" i="323"/>
  <c r="Q38" i="405"/>
  <c r="Q35" i="405" s="1"/>
  <c r="P14" i="322"/>
  <c r="O14" i="322"/>
  <c r="N14" i="322"/>
  <c r="Q14" i="322"/>
  <c r="M14" i="322"/>
  <c r="N36" i="322"/>
  <c r="M9" i="415"/>
  <c r="Q35" i="404" l="1"/>
  <c r="P5" i="506"/>
  <c r="P4" i="505"/>
  <c r="O29" i="406"/>
  <c r="N20" i="333"/>
  <c r="S5" i="503"/>
  <c r="Q27" i="404"/>
  <c r="O27" i="406"/>
  <c r="O32" i="406"/>
  <c r="Q28" i="404"/>
  <c r="N36" i="406"/>
  <c r="P36" i="404"/>
  <c r="N36" i="404"/>
  <c r="J20" i="355"/>
  <c r="P11" i="355"/>
  <c r="J15" i="355"/>
  <c r="J21" i="355"/>
  <c r="J25" i="355"/>
  <c r="J24" i="355"/>
  <c r="J19" i="355"/>
  <c r="J17" i="355"/>
  <c r="J18" i="355"/>
  <c r="J23" i="355"/>
  <c r="J22" i="355"/>
  <c r="J16" i="355"/>
  <c r="P12" i="355"/>
  <c r="N31" i="322"/>
  <c r="K18" i="443"/>
  <c r="Q10" i="408"/>
  <c r="P13" i="408"/>
  <c r="O22" i="322"/>
  <c r="O23" i="322"/>
  <c r="C21" i="386"/>
  <c r="K20" i="355" l="1"/>
  <c r="P13" i="355"/>
  <c r="K18" i="355"/>
  <c r="J26" i="355"/>
  <c r="K12" i="355"/>
  <c r="C6" i="486" l="1"/>
  <c r="C11" i="486"/>
  <c r="N37" i="442" s="1"/>
  <c r="C12" i="486"/>
  <c r="N38" i="442" s="1"/>
  <c r="C10" i="486"/>
  <c r="C13" i="486"/>
  <c r="C9" i="486"/>
  <c r="M39" i="442"/>
  <c r="C7" i="486"/>
  <c r="C8" i="486"/>
  <c r="C5" i="486"/>
  <c r="N31" i="442" l="1"/>
  <c r="N34" i="442"/>
  <c r="N33" i="442"/>
  <c r="N35" i="442"/>
  <c r="N39" i="442"/>
  <c r="N36" i="442"/>
  <c r="N32" i="442"/>
  <c r="Q13" i="391" l="1"/>
  <c r="Q7" i="391" l="1"/>
  <c r="O8" i="441" s="1"/>
  <c r="Q9" i="391"/>
  <c r="O6" i="441" s="1"/>
  <c r="Q6" i="391"/>
  <c r="O9" i="441" s="1"/>
  <c r="Q8" i="391"/>
  <c r="O10" i="441" s="1"/>
  <c r="Q5" i="391"/>
  <c r="O7" i="441" s="1"/>
  <c r="P10" i="44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<sst xmlns="http://schemas.openxmlformats.org/spreadsheetml/2006/main" count="18992" uniqueCount="1330">
  <si>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</si>
  <si>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</si>
  <si>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</si>
  <si>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</si>
  <si>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</si>
  <si>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</si>
  <si>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</si>
  <si>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</si>
  <si>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</si>
  <si>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</si>
  <si>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</si>
  <si>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</si>
  <si>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</si>
  <si>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</si>
  <si>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</si>
  <si>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</si>
  <si>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</si>
  <si>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</si>
  <si>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</si>
  <si>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</si>
  <si>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</si>
  <si>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</si>
  <si>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</si>
  <si>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</si>
  <si>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</si>
  <si>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</si>
  <si>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</si>
  <si>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</si>
  <si>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</si>
  <si>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</si>
  <si>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</si>
  <si>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</si>
  <si>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</si>
  <si>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</si>
  <si>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</si>
  <si>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</si>
  <si>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</si>
  <si>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</si>
  <si>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</si>
  <si>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</si>
  <si>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</si>
  <si>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</si>
  <si>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</si>
  <si>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</si>
  <si>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</si>
  <si>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</si>
  <si>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</si>
  <si>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</si>
  <si>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</si>
  <si>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</si>
  <si>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</si>
  <si>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</si>
  <si>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</si>
  <si>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</si>
  <si>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</si>
  <si>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</si>
  <si>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</si>
  <si>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</si>
  <si>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</si>
  <si>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</si>
  <si>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</si>
  <si>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</si>
  <si>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</si>
  <si>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</si>
  <si>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</si>
  <si>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</si>
  <si>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</si>
  <si>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</si>
  <si>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</si>
  <si>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</si>
  <si>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</si>
  <si>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</si>
  <si>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</si>
  <si>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</si>
  <si>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</si>
  <si>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</si>
  <si>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</si>
  <si>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</si>
  <si>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</si>
  <si>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</si>
  <si>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</si>
  <si>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</si>
  <si>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</si>
  <si>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</si>
  <si>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</si>
  <si>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</si>
  <si>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</si>
  <si>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</si>
  <si>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</si>
  <si>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</si>
  <si>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</si>
  <si>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</si>
  <si>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</si>
  <si>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</si>
  <si>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</si>
  <si>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</si>
  <si>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</si>
  <si>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</si>
  <si>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</si>
  <si>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</si>
  <si>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</si>
  <si>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</si>
  <si>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</si>
  <si>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</si>
  <si>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</si>
  <si>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</si>
  <si>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</si>
  <si>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</si>
  <si>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</si>
  <si>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</si>
  <si>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</si>
  <si>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</si>
  <si>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</si>
  <si>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</si>
  <si>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</si>
  <si>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</si>
  <si>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</si>
  <si>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</si>
  <si>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</si>
  <si>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</si>
  <si>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</si>
  <si>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</si>
  <si>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</si>
  <si>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</si>
  <si>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</si>
  <si>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</si>
  <si>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</si>
  <si>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</si>
  <si>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</si>
  <si>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</si>
  <si>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</si>
  <si>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</si>
  <si>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</si>
  <si>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</si>
  <si>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</si>
  <si>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</si>
  <si>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</si>
  <si>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</si>
  <si>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</si>
  <si>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</si>
  <si>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</si>
  <si>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</si>
  <si>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</si>
  <si>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</si>
  <si>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</si>
  <si>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</si>
  <si>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</si>
  <si>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</si>
  <si>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</si>
  <si>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</si>
  <si>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</si>
  <si>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</si>
  <si>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</si>
  <si>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</si>
  <si>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</si>
  <si>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</si>
  <si>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</si>
  <si>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</si>
  <si>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</si>
  <si>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</si>
  <si>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</si>
  <si>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</si>
  <si>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</si>
  <si>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</si>
  <si>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</si>
  <si>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</si>
  <si>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</si>
  <si>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</si>
  <si>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</si>
  <si>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</si>
  <si>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</si>
  <si>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</si>
  <si>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CONSEJO NACIONAL DE SEGURIDAD SOCIAL (CNSS)
INFOGRAFÍA ESTADISTICA
Febrero 2025</t>
  </si>
  <si>
    <t xml:space="preserve">SEGURO FAMILIAR DE SALUD (SFS) </t>
  </si>
  <si>
    <t>% Personas Afiliadas del SFS por Sexo</t>
  </si>
  <si>
    <t>Evolucion del Porcentaje Estimado de la Población Nacional Afiliada al SFS del SDSS</t>
  </si>
  <si>
    <t>Mujeres</t>
  </si>
  <si>
    <t>Hombres</t>
  </si>
  <si>
    <t>Índice de Dependencia por Régimen de Financiamiento al SFS</t>
  </si>
  <si>
    <t>Personas Afiliadas al SFS por Régimen de Financiamiento</t>
  </si>
  <si>
    <t>Población Afiliada del SFS por Tipo de Afiliación</t>
  </si>
  <si>
    <t xml:space="preserve">Dispersión a las Administradora de Riesgos de Salud (ARS) </t>
  </si>
  <si>
    <r>
      <rPr>
        <b/>
        <sz val="36"/>
        <color theme="1"/>
        <rFont val="Arial"/>
        <family val="2"/>
      </rPr>
      <t>Fuente:</t>
    </r>
    <r>
      <rPr>
        <sz val="36"/>
        <color theme="1"/>
        <rFont val="Arial"/>
        <family val="2"/>
      </rPr>
      <t xml:space="preserve"> TSS.  </t>
    </r>
    <r>
      <rPr>
        <b/>
        <sz val="36"/>
        <color theme="1"/>
        <rFont val="Arial"/>
        <family val="2"/>
      </rPr>
      <t>Nota:</t>
    </r>
    <r>
      <rPr>
        <sz val="36"/>
        <color theme="1"/>
        <rFont val="Arial"/>
        <family val="2"/>
      </rPr>
      <t xml:space="preserve"> Los fondos son a partir del 2007</t>
    </r>
  </si>
  <si>
    <r>
      <rPr>
        <b/>
        <sz val="36"/>
        <color theme="1"/>
        <rFont val="Arial"/>
        <family val="2"/>
      </rPr>
      <t>Fuente:</t>
    </r>
    <r>
      <rPr>
        <sz val="36"/>
        <color theme="1"/>
        <rFont val="Arial"/>
        <family val="2"/>
      </rPr>
      <t xml:space="preserve"> SISALRIL</t>
    </r>
  </si>
  <si>
    <t>Evolución del Per cápita del SFS del RC
Al 31 de Enero 2023</t>
  </si>
  <si>
    <t>Evolución del Per cápita del SFS del RS</t>
  </si>
  <si>
    <t>Fuente: TSS</t>
  </si>
  <si>
    <t>SEGURO DE VEJEZ, DISCAPACIDAD Y SOBREVIVENCIA (SVDS)</t>
  </si>
  <si>
    <t>Cantidad de cotizantes al SVDS del RC por rango de edad</t>
  </si>
  <si>
    <t xml:space="preserve">Cantidad de Beneficios Otorgados por el Sistema </t>
  </si>
  <si>
    <t xml:space="preserve">                        </t>
  </si>
  <si>
    <t>S</t>
  </si>
  <si>
    <r>
      <rPr>
        <b/>
        <sz val="36"/>
        <color theme="1"/>
        <rFont val="Arial"/>
        <family val="2"/>
      </rPr>
      <t>Fuente:</t>
    </r>
    <r>
      <rPr>
        <sz val="36"/>
        <color theme="1"/>
        <rFont val="Arial"/>
        <family val="2"/>
      </rPr>
      <t xml:space="preserve"> SIPEN </t>
    </r>
  </si>
  <si>
    <r>
      <rPr>
        <b/>
        <sz val="36"/>
        <color theme="1"/>
        <rFont val="Arial"/>
        <family val="2"/>
      </rPr>
      <t>Fuente:</t>
    </r>
    <r>
      <rPr>
        <sz val="36"/>
        <color theme="1"/>
        <rFont val="Arial"/>
        <family val="2"/>
      </rPr>
      <t xml:space="preserve"> SIPEN  </t>
    </r>
  </si>
  <si>
    <t>Composición del Patrimonio de Fondos de Pensiones</t>
  </si>
  <si>
    <t>Evolución del Patrimonio de los Fondos de pensiones por año (Millones RD$)</t>
  </si>
  <si>
    <t xml:space="preserve">BASE LEGAL </t>
  </si>
  <si>
    <t xml:space="preserve">FECHA_INICIO </t>
  </si>
  <si>
    <t>FECHA_FINAl</t>
  </si>
  <si>
    <t>Rango</t>
  </si>
  <si>
    <t>PERCAPITA</t>
  </si>
  <si>
    <t>Res 56-03 y 74-02</t>
  </si>
  <si>
    <t>ene 2012-dic 2013</t>
  </si>
  <si>
    <t>Res. 332-02</t>
  </si>
  <si>
    <t>ene 2014-dic 2016</t>
  </si>
  <si>
    <t>Res.  417-02</t>
  </si>
  <si>
    <t>ene2017-ene 2018</t>
  </si>
  <si>
    <t>Res. 436-02</t>
  </si>
  <si>
    <t>feb 2018-mar 2020</t>
  </si>
  <si>
    <t>Res 491-02</t>
  </si>
  <si>
    <t>abr 2020-dic 2021</t>
  </si>
  <si>
    <t>Res. 537-03</t>
  </si>
  <si>
    <t>-</t>
  </si>
  <si>
    <t>ene 2022.</t>
  </si>
  <si>
    <t>Fondos Complementarios</t>
  </si>
  <si>
    <t>Fondos de Reparto Individualizado</t>
  </si>
  <si>
    <t>Fondo de Solidaridad Social</t>
  </si>
  <si>
    <t>INABIMA</t>
  </si>
  <si>
    <r>
      <rPr>
        <b/>
        <sz val="36"/>
        <color theme="1"/>
        <rFont val="Arial"/>
        <family val="2"/>
      </rPr>
      <t>Fuente:</t>
    </r>
    <r>
      <rPr>
        <sz val="36"/>
        <color theme="1"/>
        <rFont val="Arial"/>
        <family val="2"/>
      </rPr>
      <t xml:space="preserve"> SIPEN</t>
    </r>
  </si>
  <si>
    <t>SEGURO RIESGOS LABORALES (SRL)</t>
  </si>
  <si>
    <t>Total de Afiliados Registrados al Seguro de Riesgos Laborales</t>
  </si>
  <si>
    <t>Total de Empresas Registradas al SDSS por Tipos</t>
  </si>
  <si>
    <t>Empresas por Rango Registradas en TSS del SDSS, por Cantidad de Empleados</t>
  </si>
  <si>
    <t>Relación Promedio de Empleados / Empresas</t>
  </si>
  <si>
    <t>CONSEJO NACIONAL DE SEGURIDAD SOCIAL (CNSS)
INFOGRAFÍA ESTADISTICA SDSS
OCTUBRE  2024</t>
  </si>
  <si>
    <t>% Poblacion Nacional</t>
  </si>
  <si>
    <t>Afiliacion SFS</t>
  </si>
  <si>
    <t>% de la Población Afiliada al SFS por Sexo</t>
  </si>
  <si>
    <t>Afiliacion SRL</t>
  </si>
  <si>
    <t>Capita RS</t>
  </si>
  <si>
    <t>Afiliación SFS</t>
  </si>
  <si>
    <t>Mes / Año</t>
  </si>
  <si>
    <t xml:space="preserve"> Titulares RC</t>
  </si>
  <si>
    <t xml:space="preserve">Dependientes   </t>
  </si>
  <si>
    <t xml:space="preserve">Depend.  Directos  </t>
  </si>
  <si>
    <t>Total</t>
  </si>
  <si>
    <t>% sexo</t>
  </si>
  <si>
    <t>Meta</t>
  </si>
  <si>
    <t>Masculino</t>
  </si>
  <si>
    <t>Femenino</t>
  </si>
  <si>
    <t xml:space="preserve">Ene-jul. 24/ </t>
  </si>
  <si>
    <t>Afiliación RC</t>
  </si>
  <si>
    <t>Depend. Adicionales</t>
  </si>
  <si>
    <t xml:space="preserve">Total </t>
  </si>
  <si>
    <t>Afiliación RS</t>
  </si>
  <si>
    <t>Hombre</t>
  </si>
  <si>
    <t>Cumplido</t>
  </si>
  <si>
    <t>Pensiones por discapacidad</t>
  </si>
  <si>
    <t>Pensiones por Sobrevivencia</t>
  </si>
  <si>
    <t>Pensiones por retiro programado</t>
  </si>
  <si>
    <t>CONSEJO NACIONAL DE SEGURIDAD SOCIAL (CNSS)
INFOGRAFÍA ESTADISTICA SDSS
ABRIL 2025</t>
  </si>
  <si>
    <t>Afiliacion SVDS</t>
  </si>
  <si>
    <t>Capita RC</t>
  </si>
  <si>
    <t>% Mujeres SFS</t>
  </si>
  <si>
    <t>% Hombres SFS</t>
  </si>
  <si>
    <t>CONSEJO NACIONAL DE SEGURIDAD SOCIAL (CNSS)</t>
  </si>
  <si>
    <t>https://listindiario.com/la-republica/ciudad/20230730/rd-datos-cual-indice-maternidad-temprana-divorcios-muertes-violentas-accidentales_765806.html</t>
  </si>
  <si>
    <t>Estadísticas e Indicadores Con Enfoque de Género. OCTUBRE  2024</t>
  </si>
  <si>
    <t>Ene-Abr. 24</t>
  </si>
  <si>
    <t>x 100</t>
  </si>
  <si>
    <t>Afiliación  SFS</t>
  </si>
  <si>
    <t>Indice Masculinidad</t>
  </si>
  <si>
    <t>Período</t>
  </si>
  <si>
    <t xml:space="preserve"> Masculino</t>
  </si>
  <si>
    <t>Indice  Feminidad</t>
  </si>
  <si>
    <t>Cantidad</t>
  </si>
  <si>
    <t>%</t>
  </si>
  <si>
    <t>Afiliación Regimen Contributivo</t>
  </si>
  <si>
    <t>Afiliación Regimen Subsidiado</t>
  </si>
  <si>
    <t>SVD Cotizantes</t>
  </si>
  <si>
    <t>Afiliación  SVDS</t>
  </si>
  <si>
    <t>Cotizantes</t>
  </si>
  <si>
    <t>Afiliados</t>
  </si>
  <si>
    <t>Julio</t>
  </si>
  <si>
    <t xml:space="preserve"> TOTAL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</si>
  <si>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</si>
  <si>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</si>
  <si>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</si>
  <si>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</si>
  <si>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</si>
  <si>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</si>
  <si>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</si>
  <si>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</si>
  <si>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</si>
  <si>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</si>
  <si>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</si>
  <si>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</si>
  <si>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</si>
  <si>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</si>
  <si>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</si>
  <si>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No Especificado</t>
  </si>
  <si>
    <t>Consejo Nacional de Seguridad Social</t>
  </si>
  <si>
    <t xml:space="preserve">Régimen Contributivo </t>
  </si>
  <si>
    <t>Del 2017-2022</t>
  </si>
  <si>
    <t>Cobertura RC</t>
  </si>
  <si>
    <t>Resolución No. 81-02 (2004): Se estableció una cobertura anual de RD$3,000.00 para medicamentos ambulatorios por afiliado.</t>
  </si>
  <si>
    <t>Resolución No. 81-02 (2004)</t>
  </si>
  <si>
    <t>Resolución No. 156-05 (2007): La cobertura se incrementó a RD$5,000.00 anuales por afiliado.</t>
  </si>
  <si>
    <t>Resolución No. 156-05 (2007)</t>
  </si>
  <si>
    <t>Resolución No. 246-08 (2011): Se aumentó la cobertura a RD$8,000.00 anuales por afiliado.</t>
  </si>
  <si>
    <t>Fecha</t>
  </si>
  <si>
    <t>Aumentos</t>
  </si>
  <si>
    <t>Resolución No. 2375-02 (2015)</t>
  </si>
  <si>
    <t xml:space="preserve">Resolución No. 581-03 (2023): La cobertura para medicamentos ambulatorios se incrementó de RD$8,000.00 a RD$12,000.00 anuales por afiliado. </t>
  </si>
  <si>
    <t>Re. 151-08</t>
  </si>
  <si>
    <t>Ene-Ago.2007</t>
  </si>
  <si>
    <t>Resolución No. 581-03 (2023)</t>
  </si>
  <si>
    <t>CNSS.GOB.DO</t>
  </si>
  <si>
    <t>Res.129-07</t>
  </si>
  <si>
    <t>Ago-Dic.2007</t>
  </si>
  <si>
    <r>
      <t>El incremento aprobado por el CNSS variará el monto pagado por los dependientes adicionales hasta ahora, que se sitúa en RD$1,490.14, y pasará a RD$1,555.14 más RD$22.31 correspondiente al Fondo Nacional de Atención Médica por Accidentes de Tránsito (FONAMAT), para un total por cada dependiente adicional de </t>
    </r>
    <r>
      <rPr>
        <b/>
        <sz val="10.5"/>
        <color rgb="FF000000"/>
        <rFont val="Arial"/>
        <family val="2"/>
      </rPr>
      <t>RD$1,577.45</t>
    </r>
    <r>
      <rPr>
        <sz val="10.5"/>
        <color rgb="FF000000"/>
        <rFont val="Arial"/>
        <family val="2"/>
      </rPr>
      <t>.</t>
    </r>
  </si>
  <si>
    <t>Régimen Subsidiado:</t>
  </si>
  <si>
    <t>Res.147-07</t>
  </si>
  <si>
    <t>Dic.07-Sep.09</t>
  </si>
  <si>
    <t>No.219-02</t>
  </si>
  <si>
    <t>Sep.-Dic.2009</t>
  </si>
  <si>
    <t>Resolución No. 69-01 (2003): Se estableció una cobertura anual de RD$1,000.00 para medicamentos ambulatorios por afiliado.</t>
  </si>
  <si>
    <t>No.227-02</t>
  </si>
  <si>
    <t>Dic.09-Nov.2011</t>
  </si>
  <si>
    <t>Cobertura RS</t>
  </si>
  <si>
    <t>Resolución No. 128-04 (2006): La cobertura se incrementó a RD$3,000.00 anuales por afiliado.</t>
  </si>
  <si>
    <t>Res-279-02</t>
  </si>
  <si>
    <t>Nov.11-Jul.2013</t>
  </si>
  <si>
    <t>Resolución No. 69-01 (2003)</t>
  </si>
  <si>
    <t>Resolución No. 551-02 (2022): La cobertura para medicamentos ambulatorios se fijó en RD$5,000.00 anuales por afiliado, sin copago, a través de una red de farmacias cerrada.</t>
  </si>
  <si>
    <t>Res-321-01</t>
  </si>
  <si>
    <t>Ago.13-Sep.2015</t>
  </si>
  <si>
    <t>Resolución No. 128-04 (2006)</t>
  </si>
  <si>
    <t>Res-375-02</t>
  </si>
  <si>
    <t>Oct.15-Oct.2017</t>
  </si>
  <si>
    <t>Resolución No. 551-02 (2022)</t>
  </si>
  <si>
    <t>Res-431-02</t>
  </si>
  <si>
    <t>Nov.17-Oct.2019</t>
  </si>
  <si>
    <t>Res-482-07</t>
  </si>
  <si>
    <t>Nov.19-Oct.2021</t>
  </si>
  <si>
    <t>Res-533-01</t>
  </si>
  <si>
    <t>Oct.21-Sept.2022</t>
  </si>
  <si>
    <t>Res-553-02</t>
  </si>
  <si>
    <t xml:space="preserve">26 de Enero del 2023 </t>
  </si>
  <si>
    <t>Sep.2022-enero 2022</t>
  </si>
  <si>
    <t>Res-563-01</t>
  </si>
  <si>
    <t>Res-581-01</t>
  </si>
  <si>
    <t>14 de diciembre 2023</t>
  </si>
  <si>
    <t>Tesorería de la Seguridad Social</t>
  </si>
  <si>
    <t>Cápitas Pagadas FONAMAT</t>
  </si>
  <si>
    <t xml:space="preserve">Valor en DOP </t>
  </si>
  <si>
    <t>Res-283-03</t>
  </si>
  <si>
    <t>Res-362-01</t>
  </si>
  <si>
    <t>Res-401-01</t>
  </si>
  <si>
    <t>Res-412-01</t>
  </si>
  <si>
    <t>Res-454-02</t>
  </si>
  <si>
    <t>Régimen Subsidiado</t>
  </si>
  <si>
    <t xml:space="preserve">Capitas Pagadas  Cuidados de la Salud </t>
  </si>
  <si>
    <t>Ene.12-Dic.</t>
  </si>
  <si>
    <t>*</t>
  </si>
  <si>
    <t>(*) Resolución fue aplicada de manera retroactiva</t>
  </si>
  <si>
    <t>Res-332-03</t>
  </si>
  <si>
    <t>Res-417-02</t>
  </si>
  <si>
    <t>Evolución de los Medicamentos</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</si>
  <si>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</si>
  <si>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</si>
  <si>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</si>
  <si>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</si>
  <si>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</si>
  <si>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</si>
  <si>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</si>
  <si>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marzo 2025 el total de empresas registradas en el Sistema Dominicano de Seguridad Social fue de 111,878 de las cuales 111,230 pertenecen al sector privado, representando el 99.4%; 648 instituciones públicas (Pública 580 y 68 públicas centralizadas) representando 0.6%.
En cuanto al total de empleados afiliados en ese mismo año fue de 2,530,849 de los cuales 1,777,613 pertenecían al sector privado, representando el 70.2%; 351,800 del sector público y 401,436 para el sector descentralizado, representando el 13.9% y el 15.9% respectivamente.    
Para el mes de marzo 2024, las cifras dan cuenta que un número significativo de empresas registradas tienen entre uno a cinco (1 a 5) empleados, representando el 61.9% del total de empresas registradas, este grupo esta constituido por 69,241 unidades, cuenta con un total de 172,754 empleados, representando el 6.8% de los trabajadores afiliados asalariados.  Mientras,  el número de empresas que poseen de 1 a 20 empleados representa un 89.3% del total.  
Es necesario destacar que el 43.0% de los empleados estan entre las empresas que albergan más de 1,001 empleados. Existen nueve (09) instituciones de más de 10,000 empleados y para el mes de marzo 2025, emplearon un total de 467,671 personas, la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</si>
  <si>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Relacion Promedio</t>
  </si>
  <si>
    <t>Aumento Promedio</t>
  </si>
  <si>
    <t>Agoto</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</si>
  <si>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</si>
  <si>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</si>
  <si>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</si>
  <si>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</si>
  <si>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</si>
  <si>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</si>
  <si>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</si>
  <si>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</si>
  <si>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</si>
  <si>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</si>
  <si>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</si>
  <si>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</si>
  <si>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</si>
  <si>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</si>
  <si>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</si>
  <si>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</si>
  <si>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</si>
  <si>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</si>
  <si>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</si>
  <si>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</si>
  <si>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</si>
  <si>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</si>
  <si>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</si>
  <si>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</si>
  <si>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</si>
  <si>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</si>
  <si>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</si>
  <si>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</si>
  <si>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</si>
  <si>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</si>
  <si>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</si>
  <si>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Analisis de la tabla</t>
  </si>
  <si>
    <t>El promedio estimado de los empleados por empresa es de 23.30.</t>
  </si>
  <si>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</si>
  <si>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</si>
  <si>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</si>
  <si>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</si>
  <si>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</si>
  <si>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</si>
  <si>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</si>
  <si>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</si>
  <si>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</si>
  <si>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</si>
  <si>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</si>
  <si>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</si>
  <si>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</si>
  <si>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</si>
  <si>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</si>
  <si>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</si>
  <si>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</si>
  <si>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29"/>
        <color rgb="FFFF0000"/>
        <rFont val="Arial"/>
        <family val="2"/>
      </rPr>
      <t xml:space="preserve">La estimación de crecimiento en afiliación del Sistema Dominicano de la Seguridad Social (SDSS) a nivel nacional a sido exponencialmente evidenciada, reflejandose para el mes de febrero 2025 es de 8%, y la afiliación estimada nacional del Seguro Familiar de Salud (SFS) es de 96.9% a nivel nacional, siendo este 10,850,737 personas.  Asimismo para el mismo periodo,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febrero 2025 es de 50.3%  femenino y  49.7%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r>
  </si>
  <si>
    <t>Tasa de Crecimiento</t>
  </si>
  <si>
    <t>RC</t>
  </si>
  <si>
    <t>RS</t>
  </si>
  <si>
    <t>RET</t>
  </si>
  <si>
    <t>Afiliación  RC</t>
  </si>
  <si>
    <t>Pensionados</t>
  </si>
  <si>
    <t>mes anterior</t>
  </si>
  <si>
    <t xml:space="preserve">Por cada 100 mujeres hay 99 hombres </t>
  </si>
  <si>
    <t>Por cada 100 hombres  hay 101 mujeres</t>
  </si>
  <si>
    <t>una tasa de 120 indicaría que por cada 100 mujeres hay 120 hombres.</t>
  </si>
  <si>
    <t>Seguro Familiar de Salud  del Sistema Dominicano de Seguridad Social
Afiliación del SFS a la Población Nacional</t>
  </si>
  <si>
    <t>Tasa de creciemnto en dos meses</t>
  </si>
  <si>
    <t>Población Nacional estimada</t>
  </si>
  <si>
    <t>%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</si>
  <si>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</si>
  <si>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</si>
  <si>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</si>
  <si>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</si>
  <si>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</si>
  <si>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</si>
  <si>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</si>
  <si>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</si>
  <si>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</si>
  <si>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</si>
  <si>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</si>
  <si>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</si>
  <si>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</si>
  <si>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</si>
  <si>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</si>
  <si>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</si>
  <si>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</si>
  <si>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</si>
  <si>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</si>
  <si>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</si>
  <si>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</si>
  <si>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</si>
  <si>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</si>
  <si>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</si>
  <si>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</si>
  <si>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</si>
  <si>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</si>
  <si>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</si>
  <si>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</si>
  <si>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</si>
  <si>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</si>
  <si>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</si>
  <si>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</si>
  <si>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</si>
  <si>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</si>
  <si>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</si>
  <si>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</si>
  <si>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</si>
  <si>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</si>
  <si>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</si>
  <si>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</si>
  <si>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</si>
  <si>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</si>
  <si>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</si>
  <si>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</si>
  <si>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</si>
  <si>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</si>
  <si>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</si>
  <si>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</si>
  <si>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</si>
  <si>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</si>
  <si>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</si>
  <si>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</si>
  <si>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</si>
  <si>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</si>
  <si>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</si>
  <si>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</si>
  <si>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</si>
  <si>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</si>
  <si>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</si>
  <si>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</si>
  <si>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</si>
  <si>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</si>
  <si>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</si>
  <si>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</si>
  <si>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Al mes de marzo 2025 la población total afiliada al RC asciende a 4,735,582 de los cuales 2,177,981 son titulares; 2,257,601dependientes directos y 266,086 dependientes adicionales.  En todos los años del Seguro Familiar de Salud (SFS) del Régimen Contributivo (RC), la población afiliada ha experimentado un incremento progresivo, tanto de titulares como de dependientes directos y adicionales. 
Los afiliados titulares representan el  46.0% de la población total registrada en el SFS- RC; los dependientes totales representan el 54.0% (los dependientes directos 48.4% y los dependientes adicionales 5.6%). Los afiliados titulares tienen un índice de dependencia total de 1.17 (117 afiliados dependientes por cada 100 afiliados titulares) y de 1.12 para el índice de dependencia directa (112 dependientes directos por cada 100 titulares) al mes de marzo 2025. 
</t>
    </r>
    <r>
      <rPr>
        <sz val="48"/>
        <color rgb="FFFF00FF"/>
        <rFont val="Arial"/>
        <family val="2"/>
      </rPr>
      <t xml:space="preserve">
En las estadísticas de afiliación registradas por sexo y tipo, se observa, que la población </t>
    </r>
    <r>
      <rPr>
        <b/>
        <i/>
        <sz val="48"/>
        <color rgb="FFFF00FF"/>
        <rFont val="Arial"/>
        <family val="2"/>
      </rPr>
      <t>masculina</t>
    </r>
    <r>
      <rPr>
        <sz val="48"/>
        <color rgb="FFFF00FF"/>
        <rFont val="Arial"/>
        <family val="2"/>
      </rPr>
      <t xml:space="preserve"> inscrita al mes de marzo 2025 fue de 2,353,961 y la femenina de 2,381,621 para una participación de 49.71% y 50.29% respectivamente.   </t>
    </r>
  </si>
  <si>
    <t>.</t>
  </si>
  <si>
    <t>Indice de Dependientes  Totales RC</t>
  </si>
  <si>
    <t>Indice de Depend.  Directos  RC</t>
  </si>
  <si>
    <t>Indice de Depend.  Adicionales RC</t>
  </si>
  <si>
    <t>Independencia Maculina</t>
  </si>
  <si>
    <t>Independencia Femenina</t>
  </si>
  <si>
    <t>100%-</t>
  </si>
  <si>
    <t>Indice de masculinidad</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</si>
  <si>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</si>
  <si>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</si>
  <si>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</si>
  <si>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</si>
  <si>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</si>
  <si>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</si>
  <si>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</si>
  <si>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</si>
  <si>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</si>
  <si>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</si>
  <si>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</si>
  <si>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</si>
  <si>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</si>
  <si>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</si>
  <si>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Afiliados Titulares RS</t>
  </si>
  <si>
    <t>Depend.  Directos  RS</t>
  </si>
  <si>
    <t>Dic.2011</t>
  </si>
  <si>
    <t>Dic.2012</t>
  </si>
  <si>
    <t>Dic.2013</t>
  </si>
  <si>
    <t>Dic.2014</t>
  </si>
  <si>
    <t>Regimen Cotributivo</t>
  </si>
  <si>
    <t>Regimen Subsidiado</t>
  </si>
  <si>
    <t>Dic.2015</t>
  </si>
  <si>
    <t>Titulares</t>
  </si>
  <si>
    <t>Dic.2016</t>
  </si>
  <si>
    <t xml:space="preserve">Dependientes Directos </t>
  </si>
  <si>
    <t>Dic.2017</t>
  </si>
  <si>
    <t>Dependientes Adicionales</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</si>
  <si>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</si>
  <si>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</si>
  <si>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</si>
  <si>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</si>
  <si>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</si>
  <si>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</si>
  <si>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</si>
  <si>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</si>
  <si>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</si>
  <si>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</si>
  <si>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</si>
  <si>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</si>
  <si>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</si>
  <si>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</si>
  <si>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</si>
  <si>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t>
    </r>
    <r>
      <rPr>
        <sz val="30"/>
        <color rgb="FFFF0000"/>
        <rFont val="Arial"/>
        <family val="2"/>
      </rPr>
      <t xml:space="preserve">El Régimen Subsidiado,  tienen una población afiliada de 5,701,911 al mes de marzo 2025,  de los cuales 4,824,367 son titulares y 877,544 dependientes; con un índice de dependencia de 0.19 (19 dependientes por cada 100 titulares).  En la afiliación del SFS del RS las </t>
    </r>
    <r>
      <rPr>
        <b/>
        <i/>
        <sz val="30"/>
        <color rgb="FFFF0000"/>
        <rFont val="Arial"/>
        <family val="2"/>
      </rPr>
      <t>mujeres</t>
    </r>
    <r>
      <rPr>
        <b/>
        <sz val="30"/>
        <color rgb="FFFF0000"/>
        <rFont val="Arial"/>
        <family val="2"/>
      </rPr>
      <t xml:space="preserve"> </t>
    </r>
    <r>
      <rPr>
        <sz val="30"/>
        <color rgb="FFFF0000"/>
        <rFont val="Arial"/>
        <family val="2"/>
      </rPr>
      <t xml:space="preserve">tienen una mayor participación, representando un 50.3%, llegando a un total de 2,868,438 y un 85.4% son  titulares, reflejandose un indice de dependencia de 0.17 (por cada 100 mujeres titulares hay 17 mujeres son dependientes).  Mientras, la afiliación </t>
    </r>
    <r>
      <rPr>
        <b/>
        <i/>
        <sz val="30"/>
        <color rgb="FFFF0000"/>
        <rFont val="Arial"/>
        <family val="2"/>
      </rPr>
      <t>masculina</t>
    </r>
    <r>
      <rPr>
        <sz val="30"/>
        <color rgb="FFFF0000"/>
        <rFont val="Arial"/>
        <family val="2"/>
      </rPr>
      <t xml:space="preserve"> es de 49.7% con un total de 2,833,473,  con un 83.8% titulares y un indice de dependencia de 0.19 (por cada 100 hombres titulares hay 19 dependientes).  De igual forma vemos que el indice de masculinidad es de 0.99 (por cada 100 mujeres hay 99 hombres), reflejandose que la titularidad mas alta viene de la mujer</t>
    </r>
    <r>
      <rPr>
        <sz val="30"/>
        <rFont val="Arial"/>
        <family val="2"/>
      </rPr>
      <t xml:space="preserve">.   </t>
    </r>
    <r>
      <rPr>
        <sz val="30"/>
        <color rgb="FFFF0000"/>
        <rFont val="Arial"/>
        <family val="2"/>
      </rPr>
      <t xml:space="preserve"> </t>
    </r>
    <r>
      <rPr>
        <sz val="30"/>
        <rFont val="Arial"/>
        <family val="2"/>
      </rPr>
      <t xml:space="preserve">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</si>
  <si>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Índice de Dependencia Masculina</t>
  </si>
  <si>
    <t>Índice de Dependencia Femenino</t>
  </si>
  <si>
    <t>Índice Masculinidad</t>
  </si>
  <si>
    <t>Índice Femenino</t>
  </si>
  <si>
    <t>mujres Mayo</t>
  </si>
  <si>
    <t>Mujres Junio</t>
  </si>
  <si>
    <t>Hombres mayo</t>
  </si>
  <si>
    <t>Hombres Junio</t>
  </si>
  <si>
    <t>Seguro Familiar de Salud (SFS) del Régimen Subsidiado (RS)
Afiliación del Seguro Familiar de Salud del Régimen Subsidiado por Tipo</t>
  </si>
  <si>
    <t>Año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</si>
  <si>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</si>
  <si>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</si>
  <si>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</si>
  <si>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</si>
  <si>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</si>
  <si>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</si>
  <si>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</si>
  <si>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</si>
  <si>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</si>
  <si>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</si>
  <si>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</si>
  <si>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</si>
  <si>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</si>
  <si>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</si>
  <si>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</si>
  <si>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</si>
  <si>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</si>
  <si>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</si>
  <si>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Al mes de marzo 2025, los regímenes especiales de pensionados que pertenecen al SDSS, ascienden a 116,970 afiliados; desagregándolo por decreto, podemos observar que los pensionados por el decreto 342-09, representan el 13.9%; por el decreto 18-19 un 26.4%; por el decreto 371-16 el 4.9%; por el decreto 159-17 el 26.6% y por el decreto 207-2016, es 28.2%.</t>
    </r>
  </si>
  <si>
    <t>Régimen Especial Transitorio y Plan de Servicios de Salud para Pensionados 
Afiliación Anual de Pensionados al SFS</t>
  </si>
  <si>
    <t xml:space="preserve">Ministerio de Hacienda </t>
  </si>
  <si>
    <t>Del Sector Salud (SS)</t>
  </si>
  <si>
    <t>De Fuerzas Armadas (FFAA)</t>
  </si>
  <si>
    <t>De Policía Nacional
 (PN)</t>
  </si>
  <si>
    <t xml:space="preserve">Total Planes </t>
  </si>
  <si>
    <t>Decreto No. 342-09</t>
  </si>
  <si>
    <t>Decreto No.18-19</t>
  </si>
  <si>
    <t>Decreto No. 371-16</t>
  </si>
  <si>
    <t>Decreto 
No. 159-17</t>
  </si>
  <si>
    <t>Res. SISALRIL 
No. 207-2016</t>
  </si>
  <si>
    <t>2023</t>
  </si>
  <si>
    <t>2024</t>
  </si>
  <si>
    <t>Abr.25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</si>
  <si>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</si>
  <si>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</si>
  <si>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</si>
  <si>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</si>
  <si>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</si>
  <si>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r>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marzo 2025 de un 5.5%,  situándose en 5,368,876 en la actualidad.  El crecimiento promedio anual de los afiliados cotizantes activos fue de 6.0% pasando de 929,743 en diciembre de 2008 a 2,230,869 al mes de marzo 2025, multiplicandose 2.4 veces.
</t>
    </r>
    <r>
      <rPr>
        <sz val="24"/>
        <color rgb="FFFF0000"/>
        <rFont val="Arial"/>
        <family val="2"/>
      </rPr>
      <t xml:space="preserve">Para el mes de marzo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marzo 2025, el 1.62% de los cotizantes eran menores de 19 años: estando la mayor agrupación de cotizantes entre las edad es de 20 a 49 años que representan el 75.61%.  Es importante considerar la contribución en estos grupos de edad, ya que tendrán más tiempo para acumular fondos y generando mayores rendimientos.   Mientras, el 13.91% que corresponde al grupo etario  de edades  entre 50 a 59 años y el 8.87%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51.5%, seguido del 48.5%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54.4% y los femeninos 45.6%.
En cuanto al salario de los cotizantes, ya que influye directamente con las cotribuciones del sistema de pensiones, el  86.5% de los cotizantes del sistema están dentro del rango de salario mínimos cotizables de 0-3 salarios minimos cotizables; en consecuencia las aportaciones mínimas en los fondos de pensiones,afectaran significativamente su pension futura.  Así mismo, el 11.7% entre  3-8 salarios mínimos y el 1.7% más de 8 salarios mínimos.  </t>
    </r>
    <r>
      <rPr>
        <sz val="24"/>
        <rFont val="Arial"/>
        <family val="2"/>
      </rPr>
      <t xml:space="preserve">
En relación con los traspasos, se puede observar que una gran cantidad de afiliados han decidido realizar un proceso de cambio de AFP, ya sea por mejores rendimientos o comisiones, evidenciandose que desde el año 2010 hasta marzo 2025, se efectuaron un total de traspasos de 746,161 de los cuales 77,615 corresponde a los traspasos de los docentes de la Secretaría de Estado de Educación afiliados a las AFP’s, al Instituto Nacional de Bienestar Magisterial (INABIMA).  Entre el enero 2010 al mes de marzo 2025, las AFP cedieron 742,731 traspasos de afiliados.   Cabe desatacar, que los afiliados pueden traspasarse de una AFP a otra,  una vez cumplan con el requisito mínimo de seis meses de cotización en su AFP actual.  El afiliado puede traspasarse máximo dos veces al año. </t>
    </r>
  </si>
  <si>
    <t>Diferencia de cotizantes</t>
  </si>
  <si>
    <t>Crecimiento Promedio</t>
  </si>
  <si>
    <t>Diferencia</t>
  </si>
  <si>
    <t xml:space="preserve">Edad es de 20 a 49 </t>
  </si>
  <si>
    <t xml:space="preserve">Edades de 50 a 59 </t>
  </si>
  <si>
    <t>más de 60 años</t>
  </si>
  <si>
    <t>Maculinio</t>
  </si>
  <si>
    <t>0hbpokjki%</t>
  </si>
  <si>
    <t>Traspaso</t>
  </si>
  <si>
    <t xml:space="preserve">   </t>
  </si>
  <si>
    <t>AFP cedieron</t>
  </si>
  <si>
    <t xml:space="preserve">Santo Domingo, Rep. Dom.– La Superintendencia de Pensiones (Sipen) y el Instituto Dominicano de Excelencia y Competitividad Empresarial (Idecem) continúan su plan educativo en pensiones con la realización de una capacitación en la Asociación de Industrias de la República Dominicana (AIRD), con el propósito de seguir fortaleciendo el conocimiento de pensiones en la clase empresarial, sus colaboradores y miembros. 
Jorge Rivas, encargado del Departamento de Prestaciones de Sipen, informó los que afiliados pueden traspasarse de una AFP a otra siempre y cuando tengan mínimo seis meses de cotización en su AFP actual. Para ello, el afiliado solo debe dirigirse personalmente a la AFP y solicitarlo. El afiliado puede traspasarse máximo dos veces al año. 
También, según la Ley 87-01, los afiliados pensionados bajo la modalidad de Retiro Programado pueden traspasar sus fondos de una AFP a otra. 
Durante la capacitación se recomendó a los participantes hacer aportes voluntarios a su cuenta de capitalización individual para un mejor ahorro al momento de retiro laboral.
El taller fue realizado como parte de las acciones que asumieron la Superintendencia de Pensiones (SIPEN) y la Asociación de Industrias de la República Dominicana (AIRD) de ofrecer información sobre pensiones a todos los interesados para que así tomen mejores decisiones a futuro.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</si>
  <si>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</si>
  <si>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</si>
  <si>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</si>
  <si>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</si>
  <si>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</si>
  <si>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</si>
  <si>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</si>
  <si>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</si>
  <si>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</si>
  <si>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</si>
  <si>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t>Condición</t>
  </si>
  <si>
    <t>IV 1/</t>
  </si>
  <si>
    <t>Población Total</t>
  </si>
  <si>
    <t>Población en Edad de Trabajar (PET)</t>
  </si>
  <si>
    <t>Fuerza de Trabajo (PEA)</t>
  </si>
  <si>
    <t>Ocupados</t>
  </si>
  <si>
    <t>Subocupados por horas</t>
  </si>
  <si>
    <t>Sector Formal 2/</t>
  </si>
  <si>
    <t>Sector Informal</t>
  </si>
  <si>
    <t>Servicio Doméstico</t>
  </si>
  <si>
    <t>Empleo Formal (con seguridad social)</t>
  </si>
  <si>
    <t>Empleo Informal (sin seguridad social)</t>
  </si>
  <si>
    <t>Ocupados Formales 3/</t>
  </si>
  <si>
    <t>Ocupados Informales</t>
  </si>
  <si>
    <t>Desocupados Abiertos</t>
  </si>
  <si>
    <t>Cesantes</t>
  </si>
  <si>
    <t>Nuevos</t>
  </si>
  <si>
    <t>Fuerza de Trabajo Potencial</t>
  </si>
  <si>
    <t>Buscaron y no están disponibles</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</si>
  <si>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</si>
  <si>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No buscaron y están disponibles</t>
  </si>
  <si>
    <t>Población fuera de la Fuerza de Trabajo (Inactivos)</t>
  </si>
  <si>
    <t>Desocupados (Abiertos con iniciadores)</t>
  </si>
  <si>
    <t xml:space="preserve">Seguro de Vejez, Discapacidad y Sobrevivencia (SVDS)
Cotizantes del SVDS RC por Rango de Edad
</t>
  </si>
  <si>
    <t>Edad</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</si>
  <si>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</si>
  <si>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</si>
  <si>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</si>
  <si>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</si>
  <si>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</si>
  <si>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</si>
  <si>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</si>
  <si>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</si>
  <si>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</si>
  <si>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</si>
  <si>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</si>
  <si>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</si>
  <si>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</si>
  <si>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</si>
  <si>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</si>
  <si>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</si>
  <si>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</si>
  <si>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</si>
  <si>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</si>
  <si>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</si>
  <si>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</si>
  <si>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</si>
  <si>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</si>
  <si>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</si>
  <si>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</si>
  <si>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</si>
  <si>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</si>
  <si>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</si>
  <si>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</si>
  <si>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</si>
  <si>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</si>
  <si>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</si>
  <si>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</si>
  <si>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</si>
  <si>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</si>
  <si>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</si>
  <si>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</si>
  <si>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 y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</si>
  <si>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</si>
  <si>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</si>
  <si>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</si>
  <si>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</si>
  <si>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</si>
  <si>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</si>
  <si>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</si>
  <si>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</si>
  <si>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</si>
  <si>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</si>
  <si>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</si>
  <si>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</si>
  <si>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</si>
  <si>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</si>
  <si>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</si>
  <si>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</si>
  <si>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</si>
  <si>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</si>
  <si>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</si>
  <si>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</si>
  <si>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</si>
  <si>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</si>
  <si>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</si>
  <si>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</si>
  <si>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</si>
  <si>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</si>
  <si>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</si>
  <si>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</si>
  <si>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marzo 2025 tiene una afiliación de 2,530,849 trabajadores asalariados.
De acuerdo a la participación de los trabajadores afiliados por rango de edad, al mes de marzo 2025, el 1.8% de los afiliados al Seguro de Riesgos Laboral (SRL) es menor o igual a 19 años; el 76.0% está entre las edades de 20-49 años,  el 19.9% esta dentro de 50 a 69 años y cabe destacar que el 2.3% de los afiliados del SRL tienen más de 70 años. 
En cuanto a la composición de la afiliación por sexo al mes de marzo 2025, habían 1,346,785 pertenecen a los hombres y 1,184,064 a las mujeres,  para una participación de 53.2%  y 46.8% respectivamente.
En ambos sexo la mayor concentración de afiliados se encuentra entre las edades de 20 a 59, observándose por género que el 88.6% de los hombres y el 90.9% de mujeres están entre las edades antes mencionadas.  
La tasa de accidentabilidad anual a marzo 2025 fue de 0.5% de los afiliados del SRL.
</t>
  </si>
  <si>
    <t>Concentracion por sexo</t>
  </si>
  <si>
    <t>edades de 20 a 59</t>
  </si>
  <si>
    <t>mayores de 60+</t>
  </si>
  <si>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</si>
  <si>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</si>
  <si>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</si>
  <si>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</si>
  <si>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SISALRIL y Banco Central RD. Encuesta Nacional Continua de Fuerza de Trabajo (ENCFT) .  El dato será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</si>
  <si>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</si>
  <si>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</si>
  <si>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</si>
  <si>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</si>
  <si>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</si>
  <si>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</si>
  <si>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</si>
  <si>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20-24</t>
  </si>
  <si>
    <t>Grupo Etario</t>
  </si>
  <si>
    <t>25-29</t>
  </si>
  <si>
    <t>30-34</t>
  </si>
  <si>
    <t>35-39</t>
  </si>
  <si>
    <t>40-44</t>
  </si>
  <si>
    <t>45-49</t>
  </si>
  <si>
    <t>50-54</t>
  </si>
  <si>
    <t>55-59</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</si>
  <si>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</si>
  <si>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</si>
  <si>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</si>
  <si>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</si>
  <si>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</si>
  <si>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</si>
  <si>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</si>
  <si>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</si>
  <si>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</si>
  <si>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</si>
  <si>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</si>
  <si>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</si>
  <si>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</si>
  <si>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</si>
  <si>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</si>
  <si>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</si>
  <si>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marzo 2025 ha ingresado al Sistema Dominicano de la Seguridad Social (SDSS) por concepto de recaudo (incluyendo intereses recargo y multas),  aportes del Gobierno Central y rendimiento de inversiones, la suma de RD$1,539,029,334,435.33.  De los cuales el 90.2% (RD$1,388,792,167,519.46) pertenece al recaudo del solo del Régimen Contributivo (RC);  el 8.5%  (RD$130,525,131,240.90) son aportes del gobierno central para cubrir a los afiliados del Seguro Familiar de Salud del Régimen Subsidiado (RS) y el 1.3% (RD$19,712,035,6474.97) por rendimientos de las diferentes inversiones del SFS y aportes.
Del total recaudado desde 2015 al mes de marzo 2025, un 62.2%  (RD$864,329,245,890.31) proviene del sector privado y el 37.8% (RD$524,711,674,982.54)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 marzo 2025, los fondos ingresados al Sistema Dominicano de Seguridad Social (SDSS) por concepto de recaudo  ascendieron a RD$54,943,890,437.94 y los pagos a las diferentes entidades que lo componen para cubrir los diferentes seguros alcanzaron un monto total de RD$54,533,719,820.60.  </t>
  </si>
  <si>
    <t>Recaudo RC</t>
  </si>
  <si>
    <t>Recaudo RC
 (Incluye recargos e Intereses)</t>
  </si>
  <si>
    <t>Aportes del Gob. RS</t>
  </si>
  <si>
    <t>Rendimientos Inversiones</t>
  </si>
  <si>
    <t>Aportes  a  FONAMAT</t>
  </si>
  <si>
    <t>Aportes del Gob. Central Pensionados</t>
  </si>
  <si>
    <t>Recaudo</t>
  </si>
  <si>
    <t>Pagos</t>
  </si>
  <si>
    <t>TABLA RESUMEN_ABRIL 2025</t>
  </si>
  <si>
    <t>Período:  Diciembre 2009 - Abril 2025</t>
  </si>
  <si>
    <t>Período:  Diciembre 2007 - Abril 2025</t>
  </si>
  <si>
    <t>Capita</t>
  </si>
  <si>
    <t>Período: Abril 2025</t>
  </si>
  <si>
    <t>Población</t>
  </si>
  <si>
    <t>Período:  Diciembre 2008 - Abril 2025</t>
  </si>
  <si>
    <t>Meses</t>
  </si>
  <si>
    <t>ARL</t>
  </si>
  <si>
    <t>AT</t>
  </si>
  <si>
    <t>EP</t>
  </si>
  <si>
    <t>Abr.2025</t>
  </si>
  <si>
    <t>Período:  Diciembre 2010 - Abril 2025</t>
  </si>
  <si>
    <t>2025</t>
  </si>
  <si>
    <t>Empresas</t>
  </si>
  <si>
    <t>Empleados</t>
  </si>
  <si>
    <t>Riesgos laborales</t>
  </si>
  <si>
    <t>Abril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</si>
  <si>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</si>
  <si>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</si>
  <si>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</si>
  <si>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</si>
  <si>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</si>
  <si>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</si>
  <si>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</si>
  <si>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De Policía Nacional (PN)</t>
  </si>
  <si>
    <t>Período: 2020 - Abril 2025</t>
  </si>
  <si>
    <t>Centralizada</t>
  </si>
  <si>
    <t>Decreto 
No. 371-16</t>
  </si>
  <si>
    <t>Res. SISALRIL No. 207-2016</t>
  </si>
  <si>
    <t>Período:  Diciembre 2003 - Abril 2025</t>
  </si>
  <si>
    <t>Pendiente a Clasificar</t>
  </si>
  <si>
    <t>Ene- Abril 2025</t>
  </si>
  <si>
    <t>Total de empresas</t>
  </si>
  <si>
    <t>Total de empleados</t>
  </si>
  <si>
    <t>Seguro Familiar de Salud (SFS)</t>
  </si>
  <si>
    <t>Afil. SISALRIL RC</t>
  </si>
  <si>
    <t>Hombres  RC</t>
  </si>
  <si>
    <t>Mujeres RC</t>
  </si>
  <si>
    <t>Hasta 19</t>
  </si>
  <si>
    <t>Dependientes directos</t>
  </si>
  <si>
    <t>Dependientes adicionales</t>
  </si>
  <si>
    <t>Regimen Contributivo</t>
  </si>
  <si>
    <t>60 y más</t>
  </si>
  <si>
    <t>TOTAL</t>
  </si>
  <si>
    <t xml:space="preserve">Cantidad de Salarios Mínimos  </t>
  </si>
  <si>
    <t>0-1</t>
  </si>
  <si>
    <t>1-2</t>
  </si>
  <si>
    <t>2-3</t>
  </si>
  <si>
    <t>3-4</t>
  </si>
  <si>
    <t>Afi. SISALRIL  RS</t>
  </si>
  <si>
    <t>Hombres RS</t>
  </si>
  <si>
    <t>Mujeres RS</t>
  </si>
  <si>
    <t>4-6</t>
  </si>
  <si>
    <t>6-8</t>
  </si>
  <si>
    <t xml:space="preserve">Dependientes </t>
  </si>
  <si>
    <t>8-10</t>
  </si>
  <si>
    <t>10-15</t>
  </si>
  <si>
    <t>15 y más</t>
  </si>
  <si>
    <t>SIPEN</t>
  </si>
  <si>
    <t>Rentabilidad SVDS</t>
  </si>
  <si>
    <t xml:space="preserve"> Afiliados por Grupos de Edad según Sexo del Afiliado. </t>
  </si>
  <si>
    <t>SISALRIL</t>
  </si>
  <si>
    <t>Nominal CCI</t>
  </si>
  <si>
    <t xml:space="preserve"> Rango de Número de Empleados.</t>
  </si>
  <si>
    <t>% promedio del sistema</t>
  </si>
  <si>
    <t>IPC</t>
  </si>
  <si>
    <t xml:space="preserve"> Empleados</t>
  </si>
  <si>
    <t>Empresa</t>
  </si>
  <si>
    <t xml:space="preserve">Empleados </t>
  </si>
  <si>
    <t xml:space="preserve">   01 y 05    </t>
  </si>
  <si>
    <t xml:space="preserve">   06 y 10    </t>
  </si>
  <si>
    <t>Pensiones SVDS</t>
  </si>
  <si>
    <t xml:space="preserve">   11 y 20    </t>
  </si>
  <si>
    <t>Discapacidad</t>
  </si>
  <si>
    <t xml:space="preserve">   21 y 50    </t>
  </si>
  <si>
    <t>Sobrevivencia</t>
  </si>
  <si>
    <t xml:space="preserve">   51 y 100   </t>
  </si>
  <si>
    <t>Retiro Programado</t>
  </si>
  <si>
    <t xml:space="preserve">  101 y 500   </t>
  </si>
  <si>
    <t xml:space="preserve">Patrimonio </t>
  </si>
  <si>
    <t xml:space="preserve">  501 y 1000  </t>
  </si>
  <si>
    <t>PIB 2023 **</t>
  </si>
  <si>
    <t xml:space="preserve"> 1001 y 10000 </t>
  </si>
  <si>
    <t xml:space="preserve">Mas de 10000  </t>
  </si>
  <si>
    <t>Banco Central RD 2024</t>
  </si>
  <si>
    <t>ENFT formal</t>
  </si>
  <si>
    <t>ENFT informal</t>
  </si>
  <si>
    <t>No Espec.</t>
  </si>
  <si>
    <t>0</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</si>
  <si>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</si>
  <si>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</si>
  <si>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</si>
  <si>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</si>
  <si>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</si>
  <si>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</si>
  <si>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</si>
  <si>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</si>
  <si>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</si>
  <si>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</si>
  <si>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</si>
  <si>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</si>
  <si>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</si>
  <si>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</si>
  <si>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</si>
  <si>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</si>
  <si>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</si>
  <si>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</si>
  <si>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</si>
  <si>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</si>
  <si>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</si>
  <si>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</si>
  <si>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</si>
  <si>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</si>
  <si>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</si>
  <si>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</si>
  <si>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</si>
  <si>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</si>
  <si>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</si>
  <si>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</si>
  <si>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</si>
  <si>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</si>
  <si>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</si>
  <si>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</si>
  <si>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</si>
  <si>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</si>
  <si>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</si>
  <si>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</si>
  <si>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</si>
  <si>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</si>
  <si>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</si>
  <si>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</si>
  <si>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Autoseguro (IDSS)</t>
  </si>
  <si>
    <t>METASALUD</t>
  </si>
  <si>
    <t>Fondos de Reparto Individualizado*</t>
  </si>
  <si>
    <t>SFS-DISPERSION</t>
  </si>
  <si>
    <t>Fondo BC</t>
  </si>
  <si>
    <t>Serv. Dominicano de Salud</t>
  </si>
  <si>
    <t>Cuidado de la Salud + ADA</t>
  </si>
  <si>
    <t>Fondo BR</t>
  </si>
  <si>
    <t>CMD</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</si>
  <si>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</si>
  <si>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</si>
  <si>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</si>
  <si>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</si>
  <si>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</si>
  <si>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</si>
  <si>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</si>
  <si>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</si>
  <si>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</si>
  <si>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</si>
  <si>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</si>
  <si>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</si>
  <si>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</si>
  <si>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</si>
  <si>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</si>
  <si>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</si>
  <si>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</si>
  <si>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Ene- Marzo 2025</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</si>
  <si>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</si>
  <si>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</si>
  <si>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</si>
  <si>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</si>
  <si>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</si>
  <si>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</si>
  <si>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</si>
  <si>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</si>
  <si>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</si>
  <si>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</si>
  <si>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</si>
  <si>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Datos Generales del Sistema Dominicano de Seguridad Social (SDSS) 
Ingresos y Egresos Anuales del SDSS</t>
  </si>
  <si>
    <t>Período:  Diciembre 2015 - Abril 2025</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</si>
  <si>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</si>
  <si>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</si>
  <si>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</si>
  <si>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</si>
  <si>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</si>
  <si>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</si>
  <si>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</si>
  <si>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</si>
  <si>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</si>
  <si>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</si>
  <si>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</si>
  <si>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</si>
  <si>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t>Solicitud 
1. Total de ingresos recaudados por la Tesorería de la Seguridad Social para el periodo 2015-2024 (incluyendo los aportes al SDSS del gobierno, y los rendimientos de las inversiones) y Solicitud 
2. Total de ingresos recaudados por la Tesorería de la Seguridad Social según origen de los fondos (por régimen de financiamiento) para el periodo 2015-2024</t>
  </si>
  <si>
    <t>Validación  TSS</t>
  </si>
  <si>
    <t>Anexo 2 RC</t>
  </si>
  <si>
    <t>Anexo 1 RS</t>
  </si>
  <si>
    <t>Anexo 2A  (Rendimientos Percibidos)</t>
  </si>
  <si>
    <t>Anexo 2A ( Aporte Pensionado )</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</si>
  <si>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</si>
  <si>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</si>
  <si>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Validacion con el Anexo 2</t>
  </si>
  <si>
    <t xml:space="preserve">Aporte extraodinario del Gobierno Central </t>
  </si>
  <si>
    <t>Medicamento Alto Costo Remdesivir</t>
  </si>
  <si>
    <t xml:space="preserve"> Reembolso Prueba RT PCR Covid 19</t>
  </si>
  <si>
    <t>Atenciones Médicas para pacientes Covid-19</t>
  </si>
  <si>
    <t xml:space="preserve">Régimen Subsidiado </t>
  </si>
  <si>
    <t xml:space="preserve">Aporte Extraodinario </t>
  </si>
  <si>
    <t>Asignacion SFS</t>
  </si>
  <si>
    <t>Asignación Afiliación de 2MM SFS</t>
  </si>
  <si>
    <t>Para Cubrir el Incremento de Per Cápita</t>
  </si>
  <si>
    <t>Fondos Atenc. Méd. Pacientes Covid-19 Planes Especiales</t>
  </si>
  <si>
    <t>PERIODO</t>
  </si>
  <si>
    <t>Pensionados Hacienda</t>
  </si>
  <si>
    <t>Pensionados Policía Nacional</t>
  </si>
  <si>
    <t>Pensionados Sector Salud</t>
  </si>
  <si>
    <t>Pensionados Fuerzas Armadas</t>
  </si>
  <si>
    <t xml:space="preserve"> Pensionados Decreto 18-19</t>
  </si>
  <si>
    <t>Recaudo del Régimen Contributivo del SDSS por Sector Económico</t>
  </si>
  <si>
    <t>Sector  Público</t>
  </si>
  <si>
    <t>Sector Privado</t>
  </si>
  <si>
    <t>PE_Aportes Extraordinario Persona</t>
  </si>
  <si>
    <t>Recaudo Total</t>
  </si>
  <si>
    <t>Solicitud 3. Total de ingresos recaudados por la TSS según sector económico (público y privado)  2015-2024</t>
  </si>
  <si>
    <t>Validación  por sector</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</si>
  <si>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</si>
  <si>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</si>
  <si>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</si>
  <si>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</si>
  <si>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</si>
  <si>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</si>
  <si>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</si>
  <si>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</si>
  <si>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</si>
  <si>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Ingreso 2015- febrer 2025</t>
  </si>
  <si>
    <t>Desde que inició el Sistema de la Seguridad Social en noviembre de 2002 para el Régimen Subsidiado y en el 2003 el Régimen Contributivo (con el seguro de pensiones).  
Los fondos desembolsados para cubrir las cápitas de los afiliados al SFS del RC, a las Administradoras de Riesgos de Salud (ARS) pertenecientes al Sistema Dominicano de Seguridad Social (SDSS).  De enero - marzo 2025 fue de RD$24,793,507,137.48. El monto total dispersado a las ARS desde 2022 al mes de marzo 2025 alcanza la suma de RD$288,715,646,564.49,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marzo 2025 en RD$2,260,448,106.17, estos están invertidos diferentes instrumentos financieros.  Con relación al Seguro Familiar de Salud del Régimen Subsidiado, la Ley 87-01 establece en su artículo 7 debe ser financiado fundamentalmente por el Estado Dominicano.      
Desde 2015 hasta el mes de marzo 2025 el gobierno ha transferido al sistema  según  lo presupuestado anualmente la suma de RD$130,525,131,240.90,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RD$134,377,329,229.23,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entre otros aportes por COVID-19 a partir del 2020.
Desde el 2015 hasta marzo 2025, el gobierno central ha realizado aportes a los Regímenes Especiales Transitorios de Salud  para  los pensionados de RD$12,310,887,140.00 y se han pagado a las ARS correspondientes RD$10,955,640,693.00.</t>
  </si>
  <si>
    <t>Egresos</t>
  </si>
  <si>
    <t xml:space="preserve"> €-   </t>
  </si>
  <si>
    <t xml:space="preserve"> Total Invertido</t>
  </si>
  <si>
    <t>Aporte pensionados</t>
  </si>
  <si>
    <t>Pagos pensionados</t>
  </si>
  <si>
    <t>Seguro Familiar de Salud (SFS) del Régimen Contributivo (RC)
Fondos Pagados Anualmente por Cuentas al SFS del RC</t>
  </si>
  <si>
    <t>Período: 2024 - Abril 2025</t>
  </si>
  <si>
    <t>Cuentas</t>
  </si>
  <si>
    <t>Ene- Abr. 2025</t>
  </si>
  <si>
    <t>Cuidado de la Salud</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</si>
  <si>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</si>
  <si>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</si>
  <si>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Período: 2022- Abril 2025</t>
  </si>
  <si>
    <t>Total General
2022- Mar.25</t>
  </si>
  <si>
    <t>Ene-Abr. 2025</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</si>
  <si>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</si>
  <si>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</si>
  <si>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</si>
  <si>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</si>
  <si>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</si>
  <si>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</si>
  <si>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</si>
  <si>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</si>
  <si>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</si>
  <si>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</si>
  <si>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</si>
  <si>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</si>
  <si>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</si>
  <si>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</si>
  <si>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</si>
  <si>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</si>
  <si>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Período:  Diciembre 2015 - Abril  2025</t>
  </si>
  <si>
    <t>Aporte Gobierno (Presupuestado)</t>
  </si>
  <si>
    <t xml:space="preserve"> Pago a SENASA </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</si>
  <si>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</si>
  <si>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</si>
  <si>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</si>
  <si>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2022 hasta marzo 2025 ascienden a un </t>
    </r>
    <r>
      <rPr>
        <b/>
        <sz val="26"/>
        <rFont val="Arial"/>
        <family val="2"/>
      </rPr>
      <t xml:space="preserve">monto total </t>
    </r>
    <r>
      <rPr>
        <sz val="26"/>
        <rFont val="Arial"/>
        <family val="2"/>
      </rPr>
      <t xml:space="preserve">de RD294,790,082,844.51 de los cuales RD$239,226,654,742.19 (81.2%)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RD$10,868,965,698.64 (3.7%); </t>
    </r>
    <r>
      <rPr>
        <b/>
        <sz val="26"/>
        <rFont val="Arial"/>
        <family val="2"/>
      </rPr>
      <t>Comisión AFP</t>
    </r>
    <r>
      <rPr>
        <sz val="26"/>
        <rFont val="Arial"/>
        <family val="2"/>
      </rPr>
      <t xml:space="preserve"> RD$1,874,805,722.48 (0.6%); </t>
    </r>
    <r>
      <rPr>
        <b/>
        <sz val="26"/>
        <rFont val="Arial"/>
        <family val="2"/>
      </rPr>
      <t xml:space="preserve"> Comisión SIPEN </t>
    </r>
    <r>
      <rPr>
        <sz val="26"/>
        <rFont val="Arial"/>
        <family val="2"/>
      </rPr>
      <t xml:space="preserve">RD$1,975,518,310.31 (0.7%); el </t>
    </r>
    <r>
      <rPr>
        <b/>
        <sz val="26"/>
        <rFont val="Arial"/>
        <family val="2"/>
      </rPr>
      <t xml:space="preserve">Seguro de Vida </t>
    </r>
    <r>
      <rPr>
        <sz val="26"/>
        <rFont val="Arial"/>
        <family val="2"/>
      </rPr>
      <t xml:space="preserve">RD$24,797,608,651.43 (8.4%)  </t>
    </r>
    <r>
      <rPr>
        <b/>
        <sz val="26"/>
        <rFont val="Arial"/>
        <family val="2"/>
      </rPr>
      <t>y por último</t>
    </r>
    <r>
      <rPr>
        <sz val="26"/>
        <rFont val="Arial"/>
        <family val="2"/>
      </rPr>
      <t xml:space="preserve"> RD$11,294,250,048.51 desembolsado al </t>
    </r>
    <r>
      <rPr>
        <b/>
        <sz val="26"/>
        <rFont val="Arial"/>
        <family val="2"/>
      </rPr>
      <t>Fondo de Solidaridad Social  (FSS)</t>
    </r>
    <r>
      <rPr>
        <sz val="26"/>
        <rFont val="Arial"/>
        <family val="2"/>
      </rPr>
      <t>, equivalente al 3.8% del total de la recaudación individualizada,</t>
    </r>
    <r>
      <rPr>
        <b/>
        <sz val="26"/>
        <rFont val="Arial"/>
        <family val="2"/>
      </rPr>
      <t xml:space="preserve"> FSS</t>
    </r>
    <r>
      <rPr>
        <sz val="26"/>
        <rFont val="Arial"/>
        <family val="2"/>
      </rPr>
      <t xml:space="preserve"> representa el 0.8%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marzo 2025 el patrimonio de los fondos de pensiones ha alcanzó un monto acumulado de RD$1,446,291.66 millones, representando el un 21.2% del Producto Interno Bruto (PIB). Para el mes de marzo 2025, CCI tiene el 79.4%, INABIMA un 11.2%, FSS un 5.8%, reparto individualizado un 3.6% de la composición de los fondos de pensiones.
La Cartera total de Inversión de los fondos de pensiones  al mes a diciembre 2024,  RD1,242,126,460,430.16.   La composición por tipo de emisor de instrumento de inversión, se observa que el 86.6% está colocada en dos tipos de emisores  principales: Banco Central</t>
    </r>
    <r>
      <rPr>
        <i/>
        <sz val="26"/>
        <rFont val="Arial"/>
        <family val="2"/>
      </rPr>
      <t xml:space="preserve"> </t>
    </r>
    <r>
      <rPr>
        <sz val="26"/>
        <rFont val="Arial"/>
        <family val="2"/>
      </rPr>
      <t xml:space="preserve">contiene el 19.61%; el 48.64%  en la cartera del </t>
    </r>
    <r>
      <rPr>
        <i/>
        <sz val="26"/>
        <rFont val="Arial"/>
        <family val="2"/>
      </rPr>
      <t>Ministerio de Hacienda</t>
    </r>
    <r>
      <rPr>
        <sz val="26"/>
        <rFont val="Arial"/>
        <family val="2"/>
      </rPr>
      <t xml:space="preserve"> y el restante 31.75% distribuidos en otros </t>
    </r>
    <r>
      <rPr>
        <i/>
        <sz val="26"/>
        <rFont val="Arial"/>
        <family val="2"/>
      </rPr>
      <t>fondos de inversión</t>
    </r>
    <r>
      <rPr>
        <sz val="26"/>
        <rFont val="Arial"/>
        <family val="2"/>
      </rPr>
      <t xml:space="preserve">.    
Desde diciembre 2003 hasta marzo 2025, la rentabilidad nominal promedio de los fondos de pensiones tanto de la Cuenta de Capitalización Individual como del sistema en general, ha tenido un comportamiento similar,  acorde a los cambios de las tasas de interés en la  economía . Para  el mes del marzo 2025 la tasa promedio del sistema es de 9.8% y la tasa promedio de la CCI es de 9.9%.  Utilizando la  inflación acumulada disponible en el Banco Central de la República Dominicana, se estima una rentabilidad real es de un 6.4%.
</t>
    </r>
  </si>
  <si>
    <t>Período:  Diciembre 2022 - Febrero 2025</t>
  </si>
  <si>
    <t>CCI</t>
  </si>
  <si>
    <t>Composicion de Patrimonio de Fondo de Pensiones</t>
  </si>
  <si>
    <t>Fuente: Sipen</t>
  </si>
  <si>
    <t>Seguro de Vejez, Discapacidad y Sobrevivencia (SVDS)
Dispersión Histórica del SVDS</t>
  </si>
  <si>
    <t>Dispersión SVDS</t>
  </si>
  <si>
    <t>Seguro de Vejez, Discapacidad y Sobrevivencia (SVDS)
Pagos Anual por Cuentas del SVDS (RD$)</t>
  </si>
  <si>
    <t>Período:  Diciembre 2022 - Abril 2025</t>
  </si>
  <si>
    <t>Enero - Abril 2025</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</si>
  <si>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</si>
  <si>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</si>
  <si>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</si>
  <si>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</si>
  <si>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</si>
  <si>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</si>
  <si>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</si>
  <si>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t>Ene-Abr. 25</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</si>
  <si>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</si>
  <si>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</si>
  <si>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</si>
  <si>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</si>
  <si>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</si>
  <si>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</si>
  <si>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</si>
  <si>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</si>
  <si>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</si>
  <si>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</si>
  <si>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Diciembre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</si>
  <si>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</si>
  <si>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</si>
  <si>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</si>
  <si>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</si>
  <si>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</si>
  <si>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</si>
  <si>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</si>
  <si>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</si>
  <si>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</si>
  <si>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Fuente: Sipen. Boletín Trimestral 86. </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</si>
  <si>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</si>
  <si>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</si>
  <si>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</si>
  <si>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</si>
  <si>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</si>
  <si>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</si>
  <si>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</si>
  <si>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</si>
  <si>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</si>
  <si>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</si>
  <si>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</si>
  <si>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</si>
  <si>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 xml:space="preserve">Los pagos efectuados al Seguro de Riesgos Laborales (SRL), durante el período diciembre 2007 hasta  marzo 2025,  para prevenir y cubrir daños ocasionados por accidentes de trabajo y/o enfermedades profesionales fue de RD$82,873,946,892.18.
Para el mismo período, el 95.53% de los fondos pagados al SRL, pertenecen a ARL Salud Segura; el 4.16% a la Comisión de la SISALRIL y el 0.32% al Fondo de Solidaridad Social.  
De enero hasta marzo 2025, la suma total pagada ascienden a RD$2612,668,705.53 distribuidos de la siguiente forma: el 95.75% a ARL Salud Segura; 4.17%  a la Comisión SISALRIL y 0.08% al Fondo de Solidaridad Social del Seguro de Riesgos Laborales (SRL).  
</t>
  </si>
  <si>
    <t>Seguro de Riesgos Laborales
Pagos Anuales al Seguro de Riesgo Laborales (SRL) por Cuentas</t>
  </si>
  <si>
    <t>SRL DISPERSION</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</si>
  <si>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</si>
  <si>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</si>
  <si>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</si>
  <si>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</si>
  <si>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</si>
  <si>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</si>
  <si>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</si>
  <si>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</si>
  <si>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</si>
  <si>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</si>
  <si>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</si>
  <si>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</si>
  <si>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Etiquetas de fila</t>
  </si>
  <si>
    <t>(en blanco)</t>
  </si>
  <si>
    <t>Total general</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</si>
  <si>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</si>
  <si>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</si>
  <si>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</si>
  <si>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marzo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16,123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16,123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78.  
Para el período marzo 2025, las pensiones otorgadas por CCI por discapacidad tienen un total de 466; por Sobreviviencia 342 y por retiro programado 7.
Para marzo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RD$13,314.00; la pension por </t>
    </r>
    <r>
      <rPr>
        <b/>
        <i/>
        <sz val="14"/>
        <rFont val="Calibri"/>
        <family val="2"/>
        <scheme val="minor"/>
      </rPr>
      <t xml:space="preserve">discapacidad </t>
    </r>
    <r>
      <rPr>
        <sz val="14"/>
        <rFont val="Calibri"/>
        <family val="2"/>
        <scheme val="minor"/>
      </rPr>
      <t>vienen dadas por el saldo acumulado en el CCI, ajustado según la graveded o el tipo de discapacidad parcial, otorgandose RD$4,834.00 y total RD$16,009.00  y  por último la pensión de retiro programado que son el promedio de la cantidad acumulada según su esperanza de vida y eligiendo la modalidad (renta vitalicia o retiro porgramado por un tiempo), hasta ahora se otorga una pension promedio de RD$39,362.04.</t>
    </r>
  </si>
  <si>
    <t>Hasta</t>
  </si>
  <si>
    <t>Concepto</t>
  </si>
  <si>
    <t>RD$</t>
  </si>
  <si>
    <r>
      <t>Fuente:</t>
    </r>
    <r>
      <rPr>
        <sz val="11"/>
        <rFont val="Calibri"/>
        <family val="2"/>
        <scheme val="minor"/>
      </rPr>
      <t xml:space="preserve"> SIPEN</t>
    </r>
  </si>
  <si>
    <t>Cuadro 7.3</t>
  </si>
  <si>
    <t>Cuadro 7.8</t>
  </si>
  <si>
    <t>Cuadro 7.12</t>
  </si>
  <si>
    <t>Pensión promedio de sobrevivencia (RD$), según entidad*</t>
  </si>
  <si>
    <t>Pensión promedio de discapacidad por tipo de discapacidad (RD$), según entidad</t>
  </si>
  <si>
    <t>Pensión promedio de retiro programado (RD$)*, según entidad</t>
  </si>
  <si>
    <t>Al 31 de diciembre de 2024</t>
  </si>
  <si>
    <t xml:space="preserve">Entidad </t>
  </si>
  <si>
    <t>Promedio total</t>
  </si>
  <si>
    <t>Entidad</t>
  </si>
  <si>
    <t xml:space="preserve">Tipo de discapacidad </t>
  </si>
  <si>
    <t xml:space="preserve">*Promedio total </t>
  </si>
  <si>
    <t>Parcial</t>
  </si>
  <si>
    <t>Promedio</t>
  </si>
  <si>
    <t>Plan Sustitutivo - Banco Central</t>
  </si>
  <si>
    <t>Plan sustitutivo - Banco Central</t>
  </si>
  <si>
    <t>Plan Sustitutivo - Banco de Reservas</t>
  </si>
  <si>
    <t>Plan sustitutivo - Banco de Reservas</t>
  </si>
  <si>
    <t>IDSS</t>
  </si>
  <si>
    <t>Autoseguro - DGJP</t>
  </si>
  <si>
    <t>Promedio Ponderado</t>
  </si>
  <si>
    <r>
      <t>INABIMA</t>
    </r>
    <r>
      <rPr>
        <vertAlign val="superscript"/>
        <sz val="11"/>
        <rFont val="Abadi"/>
        <family val="2"/>
      </rPr>
      <t>1</t>
    </r>
  </si>
  <si>
    <t>INABIMA**</t>
  </si>
  <si>
    <t>Total**</t>
  </si>
  <si>
    <t>Pensión promedio total*</t>
  </si>
  <si>
    <t>*Promedio ponderado</t>
  </si>
  <si>
    <t>**Para el caso de INABIMA no existe la discapacidad parcial, todas son totales.</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</si>
  <si>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</si>
  <si>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</si>
  <si>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</si>
  <si>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</si>
  <si>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</si>
  <si>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</si>
  <si>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</si>
  <si>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</si>
  <si>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</si>
  <si>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</si>
  <si>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</si>
  <si>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</si>
  <si>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</si>
  <si>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Total Reportes</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</si>
  <si>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2025 de 616,988 casos. El 96.2% de los reportes son de accidentes laborales y el 3.8% por enfermedades profesionales. 
</t>
    </r>
    <r>
      <rPr>
        <sz val="26"/>
        <rFont val="Arial"/>
        <family val="2"/>
      </rPr>
      <t>Para marzo 2025 , el total de reportes de accidentes laborales y enfermedades profesionales fue de 12,645 de los cuales 39.1% de los reportes provenían del sexo femenino y el 60.9% del masculino.   Asimismo, el sector público reportó el 17.0% y el 83.0% del privado.   
Del total de accidentes reportados en el período enero 2007 al mes de marzo 2025, el 0.29% es el promedio de los  afiliados tenían edades menores de 20 años y  el 5.11% mayor de 60 años.</t>
    </r>
    <r>
      <rPr>
        <sz val="26"/>
        <color rgb="FFFF0000"/>
        <rFont val="Arial"/>
        <family val="2"/>
      </rPr>
      <t xml:space="preserve">
</t>
    </r>
  </si>
  <si>
    <t>Promedio anual de los reportes</t>
  </si>
  <si>
    <t>Total de accidentes laborales mes</t>
  </si>
  <si>
    <t>menores de 20 años</t>
  </si>
  <si>
    <t xml:space="preserve"> y mayor de 60 años.</t>
  </si>
  <si>
    <t>2007-sept 2024</t>
  </si>
  <si>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</si>
  <si>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</si>
  <si>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</si>
  <si>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</si>
  <si>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</si>
  <si>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</si>
  <si>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MES</t>
  </si>
  <si>
    <t>Enero</t>
  </si>
  <si>
    <t>Febrero</t>
  </si>
  <si>
    <t xml:space="preserve">Abril </t>
  </si>
  <si>
    <t>Total General:</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</si>
  <si>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</si>
  <si>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</si>
  <si>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</si>
  <si>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</si>
  <si>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</si>
  <si>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</si>
  <si>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</si>
  <si>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</si>
  <si>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</si>
  <si>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</si>
  <si>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</si>
  <si>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</si>
  <si>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</si>
  <si>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</si>
  <si>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</si>
  <si>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</si>
  <si>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</si>
  <si>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</si>
  <si>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</si>
  <si>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</si>
  <si>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Región</t>
  </si>
  <si>
    <t>Ene</t>
  </si>
  <si>
    <t>Feb</t>
  </si>
  <si>
    <t>Mar</t>
  </si>
  <si>
    <t>Abr</t>
  </si>
  <si>
    <t>Solicitud Beneficios de IDOPPRIL
Instituto Dominicano de Prevención y Proteción de Riesgos Laborales
Reporte de Accidentes Laborales y Enfermedades Profesionales por Provincia</t>
  </si>
  <si>
    <t>Provincias</t>
  </si>
  <si>
    <t>2007-2012</t>
  </si>
  <si>
    <t>2013-2018</t>
  </si>
  <si>
    <t>2019-2021</t>
  </si>
  <si>
    <t>Ene-Abr-25</t>
  </si>
  <si>
    <t>% Provincia</t>
  </si>
  <si>
    <t>Provincia</t>
  </si>
  <si>
    <t>E-F</t>
  </si>
  <si>
    <t>E-M</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</si>
  <si>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</si>
  <si>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</si>
  <si>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</si>
  <si>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</si>
  <si>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</si>
  <si>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</si>
  <si>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</si>
  <si>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</si>
  <si>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</si>
  <si>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</si>
  <si>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</si>
  <si>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</si>
  <si>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</si>
  <si>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</si>
  <si>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</si>
  <si>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</si>
  <si>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</si>
  <si>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</si>
  <si>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DAJABON</t>
  </si>
  <si>
    <t>MONTE PLATA</t>
  </si>
  <si>
    <t>MONTECRISTI</t>
  </si>
  <si>
    <t>AZUA</t>
  </si>
  <si>
    <t>SALCEDO</t>
  </si>
  <si>
    <t>SANTIAGO RODRIGUEZ</t>
  </si>
  <si>
    <t>HATO MAYOR</t>
  </si>
  <si>
    <t>SANCHEZ RAMIREZ</t>
  </si>
  <si>
    <t>BAHORUCO</t>
  </si>
  <si>
    <t>ELIAS PIÑA</t>
  </si>
  <si>
    <t>PEDERNALES</t>
  </si>
  <si>
    <t>SAN JOSE DE OCOA</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</si>
  <si>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</si>
  <si>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</si>
  <si>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</si>
  <si>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</si>
  <si>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</si>
  <si>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</si>
  <si>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Tipo</t>
  </si>
  <si>
    <t>Empresa Privada</t>
  </si>
  <si>
    <t>Empresa Pública</t>
  </si>
  <si>
    <t>Solicitud de Beneficios de IDOPPRIL
Instituto Dominicano de Prevención y Proteción de Riesgos Laborales
Reporte de Accidentes Laborales y Enfermedades Profesionales por Sexo</t>
  </si>
  <si>
    <t>% Femenino</t>
  </si>
  <si>
    <t>% Masculino</t>
  </si>
  <si>
    <t>Sexo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</si>
  <si>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</si>
  <si>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</si>
  <si>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</si>
  <si>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</si>
  <si>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</si>
  <si>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</si>
  <si>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</si>
  <si>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Resumen por Mes de Rango de Edad</t>
  </si>
  <si>
    <t>2007</t>
  </si>
  <si>
    <t>Rango de Edad</t>
  </si>
  <si>
    <t>May</t>
  </si>
  <si>
    <t>Jun</t>
  </si>
  <si>
    <t>Jul</t>
  </si>
  <si>
    <t>Ago</t>
  </si>
  <si>
    <t>Sep</t>
  </si>
  <si>
    <t>Oct</t>
  </si>
  <si>
    <t>Nov</t>
  </si>
  <si>
    <t>Dic</t>
  </si>
  <si>
    <t>Menor de 20</t>
  </si>
  <si>
    <t>Desde 20 a 29</t>
  </si>
  <si>
    <t>Desde 30 a 39</t>
  </si>
  <si>
    <t>Desde 40 a 49</t>
  </si>
  <si>
    <t>Desde 50 a 59</t>
  </si>
  <si>
    <t>Desde 60</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</si>
  <si>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</si>
  <si>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marzo 2025, la división de Convenios Internacionales que ejecuta el Convenio España y la RD registró un total de 3,581 expedientes introducidos;  concluidos; 2,156 gestiones realizadas y 2,924 atenciones a usuarios.     
De igual forma, destacar que la ejecución del Convenio Multilateral Iberoamericano de Seguridad Social (CMISS) desde España a República Dominicana, se recibieron un total de 3,181 acciones, de las cuales el 6.9% fueron pensiones por jubilaciones o vejez; el 0.7% por sobrevivencia; el 2.5% por discapacidad; el 2.6% certificación de períodos cotizados;  el 15.3% por Reiteraciones y el 64.3% son certificaciones de legislación aplicables o desplazados.
Asimismo, destacar que la ejecución del Convenio Multilateral Iberoamericano de Seguridad Social (CMISS) desde República Dominicana a España, se recibieron un total de 415 acciones, de las cuales el 8.4% fueron pensiones por jubilaciones; el 5.8% por sobrevivencia por viudedad y el 3.1% por sobrevivencia por orfandad; el 0.5% por discapacidad; el 2.2% certificación de períodos cotizados y el 6.0% por certificaciones de legislación aplicable o desplazados; el 8.0% por depositos de documentos requeridos y el 66.0% por certificaciones emitidas descentralizadas-centralizadas.</t>
  </si>
  <si>
    <t xml:space="preserve">El Convenio Bilateral de Seguridad Social (CBSS) entre República Dominicana y España, fue suscrito en fecha 1 de julio 2004, ratificado por el Congreso Nacional, mediante la Resolución del Senado No. 31-06 de fecha 17 de mayo 2005 y puesto en ejecución en el año 2009 por el Consejo Nacional de Seguridad Social (CNSS). En octubre 2011, República Dominicana se une junto a otros 14 países de Iberoamérica, a la firma del Convenio Multilateral Iberoamericano de Seguridad Social (CMISS), a pesar de esto, es en julio del 2020 que República Dominicana firma el acuerdo de ejecución siendo el organismo de enlace el Ministerio de Trabajo (MT). Se destacan los siguientes avances durante el primer semestre del año 2023, en el marco de la aplicación del Convenio Multilateral Iberoamericano de Seguridad Social (CMISS):
Delegación de Competencia de Organismo Enlace 
Se ha llevado a cabo la firma de un acto de delegación de competencias entre el Ministerio de Trabajo y el Consejo Nacional Seguridad Social, a través del cual este último asume formalmente la ejecución del Convenio Multilateral Iberoamericano de Seguridad Social y en lo adelante figura como Organismo Enlace responsable de los trámites de las solicitudes amparadas bajo en convenio.
Habilitación de canales alternos para el intercambio de solicitudes 
En respuesta a la sugerencia realizada por los organismos competentes del Reino de España para la habilitación de un correo electrónico, seguro e institucional, como una medida alternativa para realizar el intercambio entre países destinado a las solicitudes amparadas en el marco del CMISS. 
• Marco de Disposiciones Favorables 
En virtud de lo dispuesto en el artículo 8 del Convenio Multilateral Iberoamericano de Seguridad Social, las instituciones de Seguridad Social del Reino de España y de la República Dominicana identificaron cuáles son las disposiciones del Convenio de Seguridad Social entre el Reino de España y la República Dominicana de 1 de julio de 2004 que, por ser más favorables al interesado, deben continuar aplicándose. 
</t>
  </si>
  <si>
    <t>Ene-Feb 2025</t>
  </si>
  <si>
    <t>EJECUCIÓN CMISS DESDE ESPAÑA</t>
  </si>
  <si>
    <t>Ene.2025</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</si>
  <si>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</si>
  <si>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</si>
  <si>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</si>
  <si>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</si>
  <si>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</si>
  <si>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</si>
  <si>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</si>
  <si>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</si>
  <si>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</si>
  <si>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</si>
  <si>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</si>
  <si>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</si>
  <si>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</si>
  <si>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Período: Enero 2024 - Abril 2025</t>
  </si>
  <si>
    <t>Solicitudes</t>
  </si>
  <si>
    <t>RESUMEN GENERAL DE EJECUCIÓN 2024</t>
  </si>
  <si>
    <t xml:space="preserve">Introducción </t>
  </si>
  <si>
    <t>T1</t>
  </si>
  <si>
    <t>T2</t>
  </si>
  <si>
    <t>T3</t>
  </si>
  <si>
    <t>T4</t>
  </si>
  <si>
    <t xml:space="preserve">Gestiones realizadas  </t>
  </si>
  <si>
    <t>Introducción (I y II)</t>
  </si>
  <si>
    <t xml:space="preserve">Atención a usuarios </t>
  </si>
  <si>
    <t>Gestiones realizadas (III y IV)</t>
  </si>
  <si>
    <t xml:space="preserve">Expedientes concluidos </t>
  </si>
  <si>
    <t>Atención a usuarios (V)</t>
  </si>
  <si>
    <r>
      <rPr>
        <b/>
        <sz val="10"/>
        <rFont val="Arial"/>
        <family val="2"/>
      </rPr>
      <t>Fuente:</t>
    </r>
    <r>
      <rPr>
        <sz val="10"/>
        <rFont val="Arial"/>
        <family val="2"/>
      </rPr>
      <t xml:space="preserve"> CNSS.  Convenios Internacionales</t>
    </r>
  </si>
  <si>
    <t>Expedientes concluidos (VI)</t>
  </si>
  <si>
    <t>RESUMEN GENERAL DE EJECUCIÓN 2025</t>
  </si>
  <si>
    <t>RESUMEN GENERAL DE EJECUCIÓN</t>
  </si>
  <si>
    <t>ENERO</t>
  </si>
  <si>
    <t xml:space="preserve">FEBRERO  </t>
  </si>
  <si>
    <t xml:space="preserve">MARZO  </t>
  </si>
  <si>
    <t>SEMANA 1</t>
  </si>
  <si>
    <t>SEMANA 2</t>
  </si>
  <si>
    <t>SEMANA 3</t>
  </si>
  <si>
    <t>SEMANA 4</t>
  </si>
  <si>
    <t>I.</t>
  </si>
  <si>
    <t>II.</t>
  </si>
  <si>
    <t>EJECUCIÓN CMISS DESDE DOM</t>
  </si>
  <si>
    <t>Convenio Bilateral de Seguridad Social entre España y la República Dominicana
Cantidad de Solicitudes por Año y  Tipo de Beneficio</t>
  </si>
  <si>
    <t>Período: 2024- Abril 2025</t>
  </si>
  <si>
    <t>Ene-Abr.25</t>
  </si>
  <si>
    <t>E-Mar</t>
  </si>
  <si>
    <t>ABRIL</t>
  </si>
  <si>
    <t>Ene-Mar</t>
  </si>
  <si>
    <r>
      <rPr>
        <b/>
        <sz val="20"/>
        <color theme="1"/>
        <rFont val="Calibri"/>
        <family val="2"/>
        <scheme val="minor"/>
      </rPr>
      <t>14,484</t>
    </r>
    <r>
      <rPr>
        <b/>
        <sz val="9"/>
        <color theme="1"/>
        <rFont val="Calibri"/>
        <family val="2"/>
        <scheme val="minor"/>
      </rPr>
      <t xml:space="preserve"> Gestiones  realizadas y </t>
    </r>
    <r>
      <rPr>
        <b/>
        <sz val="20"/>
        <color theme="1"/>
        <rFont val="Calibri"/>
        <family val="2"/>
        <scheme val="minor"/>
      </rPr>
      <t>1,439</t>
    </r>
    <r>
      <rPr>
        <b/>
        <sz val="9"/>
        <color theme="1"/>
        <rFont val="Calibri"/>
        <family val="2"/>
        <scheme val="minor"/>
      </rPr>
      <t xml:space="preserve"> Solicitudes por Certicado de Legislacion aplicable por Emigrante de España</t>
    </r>
  </si>
  <si>
    <r>
      <t xml:space="preserve">1,847 </t>
    </r>
    <r>
      <rPr>
        <b/>
        <sz val="14"/>
        <color theme="1"/>
        <rFont val="Calibri"/>
        <family val="2"/>
        <scheme val="minor"/>
      </rPr>
      <t>Expedintes Concluidados</t>
    </r>
  </si>
  <si>
    <t>CI_RESUMEN GENERAL DE EJECUCIÓN 2024</t>
  </si>
  <si>
    <r>
      <rPr>
        <b/>
        <sz val="11"/>
        <color rgb="FF000000"/>
        <rFont val="Calibri"/>
        <scheme val="minor"/>
      </rPr>
      <t xml:space="preserve">Se otorgaron </t>
    </r>
    <r>
      <rPr>
        <b/>
        <sz val="48"/>
        <color rgb="FF000000"/>
        <rFont val="Calibri"/>
        <scheme val="minor"/>
      </rPr>
      <t>226</t>
    </r>
    <r>
      <rPr>
        <b/>
        <sz val="11"/>
        <color rgb="FF000000"/>
        <rFont val="Calibri"/>
        <scheme val="minor"/>
      </rPr>
      <t xml:space="preserve"> Pensiones por Invalidez, vejez y Supervivencia en el CMISS desde España </t>
    </r>
  </si>
  <si>
    <r>
      <t xml:space="preserve">Se Cierre al 2024 con </t>
    </r>
    <r>
      <rPr>
        <b/>
        <sz val="30"/>
        <color theme="1"/>
        <rFont val="Calibri"/>
        <family val="2"/>
        <scheme val="minor"/>
      </rPr>
      <t>46</t>
    </r>
    <r>
      <rPr>
        <b/>
        <sz val="11"/>
        <color theme="1"/>
        <rFont val="Calibri"/>
        <family val="2"/>
        <scheme val="minor"/>
      </rPr>
      <t xml:space="preserve"> pensiones por jubilación y 4 pensiones por supervivencia otorgadas desde República Dominicana. </t>
    </r>
    <r>
      <rPr>
        <b/>
        <sz val="11"/>
        <color rgb="FFFF0000"/>
        <rFont val="Calibri"/>
        <family val="2"/>
        <scheme val="minor"/>
      </rPr>
      <t xml:space="preserve"> (Memoria)</t>
    </r>
  </si>
  <si>
    <r>
      <t xml:space="preserve">Se otorgaron </t>
    </r>
    <r>
      <rPr>
        <b/>
        <sz val="48"/>
        <color theme="1"/>
        <rFont val="Calibri"/>
        <family val="2"/>
        <scheme val="minor"/>
      </rPr>
      <t xml:space="preserve"> 82 </t>
    </r>
    <r>
      <rPr>
        <b/>
        <sz val="11"/>
        <color theme="1"/>
        <rFont val="Calibri"/>
        <family val="2"/>
        <scheme val="minor"/>
      </rPr>
      <t>Pensiones por Invalidez, vejez y Supervivencia en el CMISS desde RD</t>
    </r>
  </si>
  <si>
    <t>COLOMBIA</t>
  </si>
  <si>
    <t>CHILE</t>
  </si>
  <si>
    <t>URUGUAY</t>
  </si>
  <si>
    <t>BRASIL</t>
  </si>
  <si>
    <t>ESPANA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</si>
</sst>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1">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 #,##0.0_);_(* \(#,##0.0\);_(* &quot;-&quot;?_);_(@_)"/>
    <numFmt numFmtId="199" formatCode="_-&quot;$&quot;* #,##0.00_-;\-&quot;$&quot;* #,##0.00_-;_-&quot;$&quot;* &quot;-&quot;??_-;_-@_-"/>
    <numFmt numFmtId="200" formatCode="#,##0.0"/>
    <numFmt numFmtId="201" formatCode="_-* #,##0_-;\-* #,##0_-;_-* &quot;-&quot;_-;_-@_-"/>
  </numFmts>
  <fonts count="409">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sz val="11"/>
      <color theme="1"/>
      <name val="Arial Narrow"/>
      <family val="2"/>
    </font>
    <font>
      <sz val="28"/>
      <color theme="1"/>
      <name val="Arial Narrow"/>
      <family val="2"/>
    </font>
    <font>
      <b/>
      <sz val="12"/>
      <name val="Century Gothic"/>
      <family val="2"/>
    </font>
    <font>
      <sz val="12"/>
      <name val="Century Gothic"/>
      <family val="2"/>
    </font>
    <font>
      <b/>
      <sz val="16"/>
      <color rgb="FFFF0000"/>
      <name val="Century Gothic"/>
      <family val="2"/>
    </font>
    <font>
      <b/>
      <sz val="18"/>
      <name val="Century Gothic"/>
      <family val="2"/>
    </font>
    <font>
      <b/>
      <sz val="36"/>
      <color theme="0"/>
      <name val="Arial"/>
      <family val="2"/>
    </font>
    <font>
      <sz val="11"/>
      <color theme="1"/>
      <name val="Arial"/>
      <family val="2"/>
    </font>
    <font>
      <b/>
      <sz val="28"/>
      <color theme="1"/>
      <name val="Arial"/>
      <family val="2"/>
    </font>
    <font>
      <b/>
      <sz val="26"/>
      <color theme="1"/>
      <name val="Arial"/>
      <family val="2"/>
    </font>
    <font>
      <b/>
      <sz val="28"/>
      <color rgb="FF0070C0"/>
      <name val="Arial"/>
      <family val="2"/>
    </font>
    <font>
      <b/>
      <sz val="28"/>
      <color rgb="FFFF3399"/>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u val="singleAccounting"/>
      <sz val="28"/>
      <color rgb="FF000000"/>
      <name val="Arial"/>
      <family val="2"/>
    </font>
    <font>
      <b/>
      <u val="singleAccounting"/>
      <sz val="36"/>
      <color rgb="FF000000"/>
      <name val="Arial"/>
      <family val="2"/>
    </font>
    <font>
      <sz val="32"/>
      <color theme="1"/>
      <name val="Arial"/>
      <family val="2"/>
    </font>
    <font>
      <sz val="48"/>
      <color theme="1"/>
      <name val="Arial"/>
      <family val="2"/>
    </font>
    <font>
      <b/>
      <sz val="26"/>
      <color rgb="FF000000"/>
      <name val="Arial"/>
      <family val="2"/>
    </font>
    <font>
      <sz val="18"/>
      <color theme="0"/>
      <name val="Calibri"/>
      <family val="2"/>
      <scheme val="minor"/>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rgb="FFFFFF00"/>
      <name val="Arial"/>
      <family val="2"/>
    </font>
    <font>
      <b/>
      <sz val="12"/>
      <color rgb="FF000000"/>
      <name val="Arial"/>
      <family val="2"/>
    </font>
    <font>
      <sz val="12"/>
      <color rgb="FF000000"/>
      <name val="Arial"/>
      <family val="2"/>
    </font>
    <font>
      <b/>
      <sz val="12"/>
      <color rgb="FF0070C0"/>
      <name val="Arial"/>
      <family val="2"/>
    </font>
    <font>
      <b/>
      <sz val="12"/>
      <color rgb="FFFF0000"/>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1"/>
      <color rgb="FFFFFF0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48"/>
      <color rgb="FF0070C0"/>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sz val="11.5"/>
      <color theme="0"/>
      <name val="Calibri"/>
      <family val="2"/>
      <scheme val="minor"/>
    </font>
    <font>
      <sz val="26"/>
      <color theme="1"/>
      <name val="Arial Narrow"/>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b/>
      <sz val="36"/>
      <color theme="1"/>
      <name val="Arial"/>
      <family val="2"/>
    </font>
    <font>
      <sz val="10"/>
      <name val="Arial"/>
      <family val="2"/>
    </font>
    <font>
      <b/>
      <sz val="48"/>
      <color theme="4" tint="-0.499984740745262"/>
      <name val="Arial"/>
      <family val="2"/>
    </font>
    <font>
      <b/>
      <sz val="72"/>
      <color theme="0"/>
      <name val="Arial"/>
      <family val="2"/>
    </font>
    <font>
      <b/>
      <sz val="10.5"/>
      <color rgb="FF000000"/>
      <name val="Arial"/>
      <family val="2"/>
    </font>
    <font>
      <sz val="10.5"/>
      <color rgb="FF000000"/>
      <name val="Arial"/>
      <family val="2"/>
    </font>
    <font>
      <sz val="20"/>
      <color rgb="FFFF0000"/>
      <name val="Calibri"/>
      <family val="2"/>
      <scheme val="minor"/>
    </font>
    <font>
      <b/>
      <sz val="48"/>
      <color rgb="FF000000"/>
      <name val="Arial"/>
      <family val="2"/>
    </font>
    <font>
      <b/>
      <sz val="60"/>
      <color theme="0"/>
      <name val="Calibri"/>
      <family val="2"/>
      <scheme val="minor"/>
    </font>
    <font>
      <b/>
      <sz val="9"/>
      <name val="Arial"/>
      <family val="2"/>
    </font>
    <font>
      <sz val="9"/>
      <name val="Arial"/>
      <family val="2"/>
    </font>
    <font>
      <sz val="10"/>
      <color indexed="8"/>
      <name val="Arial"/>
      <family val="2"/>
    </font>
    <font>
      <sz val="10"/>
      <color theme="0"/>
      <name val="Arial"/>
      <family val="2"/>
    </font>
    <font>
      <b/>
      <u/>
      <sz val="48"/>
      <color rgb="FF000000"/>
      <name val="Arial"/>
      <family val="2"/>
    </font>
    <font>
      <b/>
      <sz val="40"/>
      <name val="Arial"/>
      <family val="2"/>
    </font>
    <font>
      <b/>
      <sz val="40"/>
      <color rgb="FF00000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b/>
      <sz val="22"/>
      <name val="Century Gothic"/>
      <family val="2"/>
    </font>
    <font>
      <b/>
      <sz val="22"/>
      <color rgb="FFFF0000"/>
      <name val="Century Gothic"/>
      <family val="2"/>
    </font>
    <font>
      <b/>
      <sz val="14"/>
      <name val="Century Gothic"/>
      <family val="2"/>
    </font>
    <font>
      <b/>
      <sz val="18"/>
      <color rgb="FFFFFF00"/>
      <name val="Arial"/>
      <family val="2"/>
    </font>
    <font>
      <sz val="18"/>
      <color rgb="FFFFFF00"/>
      <name val="Arial"/>
      <family val="2"/>
    </font>
    <font>
      <sz val="18"/>
      <color rgb="FF000000"/>
      <name val="Arial"/>
      <family val="2"/>
    </font>
    <font>
      <sz val="15"/>
      <color theme="1"/>
      <name val="Arial"/>
      <family val="2"/>
    </font>
    <font>
      <b/>
      <i/>
      <sz val="15"/>
      <color theme="1"/>
      <name val="Arial"/>
      <family val="2"/>
    </font>
    <font>
      <sz val="18"/>
      <color theme="1"/>
      <name val="Arial Narrow"/>
      <family val="2"/>
    </font>
    <font>
      <b/>
      <sz val="18"/>
      <color theme="3"/>
      <name val="Avenir LT Std 55 Roman"/>
      <family val="2"/>
    </font>
    <font>
      <sz val="18"/>
      <name val="Avenir LT Std 55 Roman"/>
      <family val="2"/>
    </font>
    <font>
      <sz val="18"/>
      <color theme="1"/>
      <name val="Avenir LT Std 55 Roman"/>
      <family val="2"/>
    </font>
    <font>
      <b/>
      <sz val="12"/>
      <color rgb="FF212529"/>
      <name val="Roboto"/>
    </font>
    <font>
      <sz val="12"/>
      <color rgb="FF212529"/>
      <name val="Roboto"/>
    </font>
    <font>
      <b/>
      <u val="singleAccounting"/>
      <sz val="18"/>
      <color rgb="FF000000"/>
      <name val="Arial"/>
      <family val="2"/>
    </font>
    <font>
      <sz val="10"/>
      <name val="Arial"/>
      <family val="2"/>
    </font>
    <font>
      <sz val="11"/>
      <color rgb="FF073CA9"/>
      <name val="Abadi"/>
      <family val="2"/>
    </font>
    <font>
      <sz val="26"/>
      <name val="Arial"/>
      <family val="2"/>
    </font>
    <font>
      <sz val="11"/>
      <color rgb="FFFFFF00"/>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24"/>
      <color theme="6" tint="0.79998168889431442"/>
      <name val="Calibri"/>
      <family val="2"/>
      <scheme val="minor"/>
    </font>
    <font>
      <b/>
      <sz val="10"/>
      <color rgb="FF000000"/>
      <name val="Arial"/>
      <family val="2"/>
    </font>
    <font>
      <sz val="24"/>
      <color rgb="FFFFFF00"/>
      <name val="Calibri"/>
      <family val="2"/>
      <scheme val="minor"/>
    </font>
    <font>
      <b/>
      <sz val="36"/>
      <color theme="0"/>
      <name val="Bahnschrift SemiLight SemiConde"/>
      <family val="2"/>
    </font>
    <font>
      <b/>
      <sz val="24"/>
      <color rgb="FFFFFF00"/>
      <name val="Arial"/>
      <family val="2"/>
    </font>
    <font>
      <b/>
      <sz val="22"/>
      <color theme="0"/>
      <name val="Bahnschrift SemiLight SemiConde"/>
      <family val="2"/>
    </font>
    <font>
      <sz val="14"/>
      <color rgb="FFFFFF00"/>
      <name val="Calibri"/>
      <family val="2"/>
      <scheme val="minor"/>
    </font>
    <font>
      <b/>
      <sz val="13"/>
      <color indexed="8"/>
      <name val="Arial"/>
      <family val="2"/>
    </font>
    <font>
      <sz val="13"/>
      <color indexed="8"/>
      <name val="Arial"/>
      <family val="2"/>
    </font>
    <font>
      <sz val="48"/>
      <color theme="1"/>
      <name val="Arial Narrow"/>
      <family val="2"/>
    </font>
    <font>
      <sz val="200"/>
      <color theme="1"/>
      <name val="Arial Narrow"/>
      <family val="2"/>
    </font>
    <font>
      <sz val="40"/>
      <color theme="1"/>
      <name val="Arial"/>
      <family val="2"/>
    </font>
    <font>
      <b/>
      <sz val="36"/>
      <color rgb="FFFFFF00"/>
      <name val="Arial"/>
      <family val="2"/>
    </font>
    <font>
      <b/>
      <sz val="36"/>
      <name val="Arial"/>
      <family val="2"/>
    </font>
    <font>
      <b/>
      <sz val="36"/>
      <color theme="1"/>
      <name val="Calibri"/>
      <family val="2"/>
      <scheme val="minor"/>
    </font>
    <font>
      <sz val="36"/>
      <color theme="0"/>
      <name val="Calibri"/>
      <family val="2"/>
      <scheme val="minor"/>
    </font>
    <font>
      <b/>
      <sz val="36"/>
      <color theme="3"/>
      <name val="Avenir LT Std 55 Roman"/>
      <family val="2"/>
    </font>
    <font>
      <sz val="36"/>
      <name val="Avenir LT Std 55 Roman"/>
      <family val="2"/>
    </font>
    <font>
      <sz val="36"/>
      <color theme="1"/>
      <name val="Avenir LT Std 55 Roman"/>
      <family val="2"/>
    </font>
    <font>
      <b/>
      <sz val="48"/>
      <color rgb="FFFFFFFF"/>
      <name val="Arial"/>
      <family val="2"/>
    </font>
    <font>
      <b/>
      <sz val="48"/>
      <name val="Arial"/>
      <family val="2"/>
    </font>
    <font>
      <b/>
      <sz val="24"/>
      <color rgb="FF000000"/>
      <name val="Calibri"/>
      <family val="2"/>
    </font>
    <font>
      <sz val="14"/>
      <color rgb="FFFFFF00"/>
      <name val="Arial"/>
      <family val="2"/>
    </font>
    <font>
      <i/>
      <sz val="30"/>
      <name val="Arial"/>
      <family val="2"/>
    </font>
    <font>
      <sz val="30"/>
      <color rgb="FFFF0000"/>
      <name val="Arial"/>
      <family val="2"/>
    </font>
    <font>
      <sz val="26"/>
      <color rgb="FFFF0000"/>
      <name val="Arial"/>
      <family val="2"/>
    </font>
    <font>
      <b/>
      <sz val="36"/>
      <color rgb="FFFFFF00"/>
      <name val="Calibri"/>
      <family val="2"/>
      <scheme val="minor"/>
    </font>
    <font>
      <sz val="72"/>
      <color theme="1"/>
      <name val="Arial"/>
      <family val="2"/>
    </font>
    <font>
      <b/>
      <i/>
      <sz val="72"/>
      <color theme="1"/>
      <name val="Arial"/>
      <family val="2"/>
    </font>
    <font>
      <b/>
      <i/>
      <sz val="72"/>
      <color theme="3" tint="-0.249977111117893"/>
      <name val="Arial"/>
      <family val="2"/>
    </font>
    <font>
      <b/>
      <i/>
      <sz val="72"/>
      <color theme="6" tint="-0.249977111117893"/>
      <name val="Arial"/>
      <family val="2"/>
    </font>
    <font>
      <sz val="72"/>
      <color theme="1"/>
      <name val="Arial Narrow"/>
      <family val="2"/>
    </font>
    <font>
      <sz val="50"/>
      <color theme="1"/>
      <name val="Calibri"/>
      <family val="2"/>
      <scheme val="minor"/>
    </font>
    <font>
      <b/>
      <sz val="30"/>
      <color rgb="FFFF0000"/>
      <name val="Arial"/>
      <family val="2"/>
    </font>
    <font>
      <b/>
      <i/>
      <sz val="30"/>
      <color rgb="FFFF0000"/>
      <name val="Arial"/>
      <family val="2"/>
    </font>
    <font>
      <sz val="16"/>
      <color rgb="FFFF0000"/>
      <name val="Arial"/>
      <family val="2"/>
    </font>
    <font>
      <b/>
      <sz val="11"/>
      <color rgb="FF000000"/>
      <name val="Calibri Light"/>
      <family val="2"/>
    </font>
    <font>
      <b/>
      <sz val="11"/>
      <color rgb="FF000000"/>
      <name val="Calibri"/>
      <family val="2"/>
      <scheme val="minor"/>
    </font>
    <font>
      <b/>
      <sz val="12"/>
      <color rgb="FF000000"/>
      <name val="Calibri Light"/>
      <family val="2"/>
    </font>
    <font>
      <sz val="28"/>
      <color rgb="FF000000"/>
      <name val="Times New Roman"/>
      <family val="1"/>
    </font>
    <font>
      <sz val="10"/>
      <name val="Arial"/>
      <family val="2"/>
    </font>
    <font>
      <sz val="24"/>
      <color rgb="FFFFFF00"/>
      <name val="Arial"/>
      <family val="2"/>
    </font>
    <font>
      <sz val="28"/>
      <color theme="1"/>
      <name val="Calibri"/>
      <family val="2"/>
      <scheme val="minor"/>
    </font>
    <font>
      <b/>
      <sz val="28"/>
      <color rgb="FFFFFF00"/>
      <name val="Calibri"/>
      <family val="2"/>
      <scheme val="minor"/>
    </font>
    <font>
      <b/>
      <sz val="28"/>
      <color theme="1"/>
      <name val="Calibri"/>
      <family val="2"/>
      <scheme val="minor"/>
    </font>
    <font>
      <sz val="28"/>
      <color rgb="FFFFFF00"/>
      <name val="Calibri"/>
      <family val="2"/>
      <scheme val="minor"/>
    </font>
    <font>
      <sz val="48"/>
      <name val="Arial"/>
      <family val="2"/>
    </font>
    <font>
      <sz val="10"/>
      <color rgb="FF1360AD"/>
      <name val="Roboto"/>
    </font>
    <font>
      <b/>
      <i/>
      <sz val="18"/>
      <color theme="6" tint="-0.249977111117893"/>
      <name val="Arial"/>
      <family val="2"/>
    </font>
    <font>
      <sz val="11"/>
      <color rgb="FFFF0000"/>
      <name val="Calibri"/>
      <family val="2"/>
      <scheme val="minor"/>
    </font>
    <font>
      <b/>
      <sz val="14"/>
      <color rgb="FFFF0000"/>
      <name val="Century Gothic"/>
      <family val="2"/>
    </font>
    <font>
      <b/>
      <sz val="14"/>
      <color rgb="FF0070C0"/>
      <name val="Century Gothic"/>
      <family val="2"/>
    </font>
    <font>
      <sz val="12"/>
      <name val="Abadi"/>
      <family val="2"/>
    </font>
    <font>
      <sz val="11"/>
      <name val="Abadi"/>
      <family val="2"/>
    </font>
    <font>
      <b/>
      <sz val="11"/>
      <color theme="0"/>
      <name val="Abadi"/>
      <family val="2"/>
    </font>
    <font>
      <vertAlign val="superscript"/>
      <sz val="11"/>
      <name val="Abadi"/>
      <family val="2"/>
    </font>
    <font>
      <sz val="9"/>
      <name val="Abadi"/>
      <family val="2"/>
    </font>
    <font>
      <sz val="11"/>
      <color theme="1"/>
      <name val="Abadi"/>
      <family val="2"/>
    </font>
    <font>
      <b/>
      <sz val="26"/>
      <name val="Arial"/>
      <family val="2"/>
    </font>
    <font>
      <i/>
      <sz val="26"/>
      <name val="Arial"/>
      <family val="2"/>
    </font>
    <font>
      <b/>
      <i/>
      <sz val="26"/>
      <name val="Arial"/>
      <family val="2"/>
    </font>
    <font>
      <b/>
      <sz val="48"/>
      <color theme="1"/>
      <name val="Calibri"/>
      <family val="2"/>
      <scheme val="minor"/>
    </font>
    <font>
      <b/>
      <sz val="9"/>
      <color theme="1"/>
      <name val="Calibri"/>
      <family val="2"/>
      <scheme val="minor"/>
    </font>
    <font>
      <b/>
      <sz val="30"/>
      <color theme="1"/>
      <name val="Calibri"/>
      <family val="2"/>
      <scheme val="minor"/>
    </font>
    <font>
      <b/>
      <sz val="11"/>
      <color rgb="FFFF0000"/>
      <name val="Calibri"/>
      <family val="2"/>
      <scheme val="minor"/>
    </font>
    <font>
      <sz val="29"/>
      <name val="Arial"/>
      <family val="2"/>
    </font>
    <font>
      <sz val="29"/>
      <color rgb="FFFF0000"/>
      <name val="Arial"/>
      <family val="2"/>
    </font>
    <font>
      <sz val="48"/>
      <color rgb="FFFF00FF"/>
      <name val="Arial"/>
      <family val="2"/>
    </font>
    <font>
      <b/>
      <i/>
      <sz val="48"/>
      <color rgb="FFFF00FF"/>
      <name val="Arial"/>
      <family val="2"/>
    </font>
    <font>
      <b/>
      <sz val="14"/>
      <color rgb="FFFFFFFF"/>
      <name val="Arial"/>
      <family val="2"/>
    </font>
    <font>
      <b/>
      <sz val="11"/>
      <color theme="1"/>
      <name val="Gotham"/>
    </font>
    <font>
      <b/>
      <sz val="14"/>
      <color rgb="FFFFFF00"/>
      <name val="Arial"/>
      <family val="2"/>
    </font>
    <font>
      <sz val="16"/>
      <color theme="1"/>
      <name val="Gotham"/>
      <family val="2"/>
    </font>
    <font>
      <b/>
      <sz val="16"/>
      <color theme="1"/>
      <name val="Gotham"/>
    </font>
    <font>
      <b/>
      <sz val="12"/>
      <color rgb="FFFFFFFF"/>
      <name val="Arial"/>
      <family val="2"/>
    </font>
    <font>
      <b/>
      <sz val="8"/>
      <color theme="1"/>
      <name val="Gotham"/>
    </font>
    <font>
      <sz val="8"/>
      <color theme="1"/>
      <name val="Calibri"/>
      <family val="2"/>
      <scheme val="minor"/>
    </font>
    <font>
      <b/>
      <sz val="8"/>
      <color theme="0"/>
      <name val="Arial"/>
      <family val="2"/>
    </font>
    <font>
      <sz val="8"/>
      <color theme="1"/>
      <name val="Gotham"/>
      <family val="2"/>
    </font>
    <font>
      <b/>
      <sz val="8"/>
      <color rgb="FFFF0000"/>
      <name val="Arial"/>
      <family val="2"/>
    </font>
    <font>
      <sz val="8"/>
      <color rgb="FFFF0000"/>
      <name val="Arial"/>
      <family val="2"/>
    </font>
    <font>
      <b/>
      <sz val="8"/>
      <color theme="1"/>
      <name val="Arial"/>
      <family val="2"/>
    </font>
    <font>
      <sz val="14"/>
      <color rgb="FFFF0000"/>
      <name val="Arial"/>
      <family val="2"/>
    </font>
    <font>
      <b/>
      <sz val="12"/>
      <color rgb="FFFFFFFF"/>
      <name val="Roboto"/>
    </font>
    <font>
      <b/>
      <sz val="12"/>
      <color rgb="FFFFFF00"/>
      <name val="Roboto"/>
    </font>
    <font>
      <b/>
      <i/>
      <sz val="14"/>
      <name val="Calibri"/>
      <family val="2"/>
      <scheme val="minor"/>
    </font>
    <font>
      <sz val="11"/>
      <color rgb="FF212529"/>
      <name val="Roboto"/>
    </font>
    <font>
      <b/>
      <sz val="12"/>
      <name val="Roboto"/>
    </font>
    <font>
      <sz val="11"/>
      <color rgb="FF000000"/>
      <name val="Calibri Light"/>
      <family val="2"/>
    </font>
    <font>
      <sz val="11"/>
      <color rgb="FFFF0000"/>
      <name val="Calibri Light"/>
      <family val="2"/>
    </font>
    <font>
      <b/>
      <sz val="11"/>
      <color rgb="FFFFFF00"/>
      <name val="Calibri Light"/>
      <family val="2"/>
    </font>
    <font>
      <b/>
      <sz val="12"/>
      <color rgb="FFFFFF00"/>
      <name val="Calibri Light"/>
      <family val="2"/>
    </font>
    <font>
      <sz val="14"/>
      <color rgb="FF000000"/>
      <name val="Arial"/>
      <family val="2"/>
    </font>
    <font>
      <b/>
      <sz val="11"/>
      <color rgb="FF000000"/>
      <name val="Calibri"/>
      <scheme val="minor"/>
    </font>
    <font>
      <b/>
      <sz val="48"/>
      <color rgb="FF000000"/>
      <name val="Calibri"/>
      <scheme val="minor"/>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rgb="FFD7ECFD"/>
        <bgColor indexed="64"/>
      </patternFill>
    </fill>
    <fill>
      <patternFill patternType="solid">
        <fgColor rgb="FFF5F5F5"/>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9" tint="-0.499984740745262"/>
        <bgColor indexed="64"/>
      </patternFill>
    </fill>
    <fill>
      <patternFill patternType="solid">
        <fgColor rgb="FFFFFF00"/>
        <bgColor rgb="FF000000"/>
      </patternFill>
    </fill>
    <fill>
      <patternFill patternType="solid">
        <fgColor rgb="FFFABF8F"/>
        <bgColor rgb="FF000000"/>
      </patternFill>
    </fill>
    <fill>
      <patternFill patternType="solid">
        <fgColor rgb="FFE2EFDA"/>
        <bgColor rgb="FF000000"/>
      </patternFill>
    </fill>
    <fill>
      <patternFill patternType="solid">
        <fgColor rgb="FFDDEBF7"/>
        <bgColor rgb="FF000000"/>
      </patternFill>
    </fill>
    <fill>
      <patternFill patternType="solid">
        <fgColor rgb="FF073CA9"/>
        <bgColor indexed="64"/>
      </patternFill>
    </fill>
    <fill>
      <patternFill patternType="solid">
        <fgColor rgb="FFF7F7F7"/>
        <bgColor indexed="64"/>
      </patternFill>
    </fill>
    <fill>
      <patternFill patternType="solid">
        <fgColor rgb="FFCCFF99"/>
        <bgColor rgb="FF000000"/>
      </patternFill>
    </fill>
    <fill>
      <patternFill patternType="solid">
        <fgColor rgb="FFFFFFFF"/>
        <bgColor rgb="FF000000"/>
      </patternFill>
    </fill>
    <fill>
      <patternFill patternType="solid">
        <fgColor rgb="FF215967"/>
        <bgColor rgb="FF000000"/>
      </patternFill>
    </fill>
    <fill>
      <patternFill patternType="solid">
        <fgColor rgb="FFFF0000"/>
        <bgColor indexed="64"/>
      </patternFill>
    </fill>
    <fill>
      <patternFill patternType="solid">
        <fgColor rgb="FF002060"/>
        <bgColor indexed="64"/>
      </patternFill>
    </fill>
    <fill>
      <patternFill patternType="solid">
        <fgColor rgb="FF1360AD"/>
        <bgColor indexed="64"/>
      </patternFill>
    </fill>
    <fill>
      <patternFill patternType="solid">
        <fgColor rgb="FFFFF2CC"/>
        <bgColor rgb="FF000000"/>
      </patternFill>
    </fill>
    <fill>
      <patternFill patternType="solid">
        <fgColor rgb="FFC6E0B4"/>
        <bgColor rgb="FF000000"/>
      </patternFill>
    </fill>
  </fills>
  <borders count="1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theme="0"/>
      </left>
      <right style="thick">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right style="thick">
        <color indexed="9"/>
      </right>
      <top style="thick">
        <color indexed="9"/>
      </top>
      <bottom style="thick">
        <color indexed="9"/>
      </bottom>
      <diagonal/>
    </border>
    <border>
      <left style="thin">
        <color theme="0"/>
      </left>
      <right style="thin">
        <color theme="0"/>
      </right>
      <top/>
      <bottom/>
      <diagonal/>
    </border>
    <border>
      <left style="thin">
        <color indexed="8"/>
      </left>
      <right style="thin">
        <color indexed="8"/>
      </right>
      <top/>
      <bottom/>
      <diagonal/>
    </border>
    <border>
      <left style="thin">
        <color indexed="8"/>
      </left>
      <right style="thin">
        <color theme="0" tint="-0.14996795556505021"/>
      </right>
      <top style="thin">
        <color indexed="8"/>
      </top>
      <bottom style="thin">
        <color theme="0" tint="-0.14996795556505021"/>
      </bottom>
      <diagonal/>
    </border>
    <border>
      <left style="thin">
        <color theme="0" tint="-0.14996795556505021"/>
      </left>
      <right style="thin">
        <color theme="0" tint="-0.14996795556505021"/>
      </right>
      <top style="thin">
        <color indexed="8"/>
      </top>
      <bottom style="thin">
        <color theme="0" tint="-0.14996795556505021"/>
      </bottom>
      <diagonal/>
    </border>
    <border>
      <left style="thin">
        <color theme="0" tint="-0.14996795556505021"/>
      </left>
      <right style="thin">
        <color indexed="8"/>
      </right>
      <top style="thin">
        <color indexed="8"/>
      </top>
      <bottom style="thin">
        <color theme="0" tint="-0.14996795556505021"/>
      </bottom>
      <diagonal/>
    </border>
    <border>
      <left style="thin">
        <color indexed="8"/>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8"/>
      </right>
      <top style="thin">
        <color theme="0" tint="-0.14996795556505021"/>
      </top>
      <bottom style="thin">
        <color theme="0" tint="-0.14996795556505021"/>
      </bottom>
      <diagonal/>
    </border>
    <border>
      <left style="thin">
        <color indexed="8"/>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8"/>
      </right>
      <top style="thin">
        <color theme="0" tint="-0.14996795556505021"/>
      </top>
      <bottom/>
      <diagonal/>
    </border>
    <border>
      <left style="thin">
        <color indexed="8"/>
      </left>
      <right style="thin">
        <color theme="0" tint="-0.14996795556505021"/>
      </right>
      <top style="thin">
        <color theme="0" tint="-0.14996795556505021"/>
      </top>
      <bottom style="thin">
        <color indexed="8"/>
      </bottom>
      <diagonal/>
    </border>
    <border>
      <left style="thin">
        <color theme="0" tint="-0.14996795556505021"/>
      </left>
      <right style="thin">
        <color theme="0" tint="-0.14996795556505021"/>
      </right>
      <top style="thin">
        <color theme="0" tint="-0.14996795556505021"/>
      </top>
      <bottom style="thin">
        <color indexed="8"/>
      </bottom>
      <diagonal/>
    </border>
    <border>
      <left style="thin">
        <color theme="0" tint="-0.14996795556505021"/>
      </left>
      <right style="thin">
        <color indexed="8"/>
      </right>
      <top style="thin">
        <color theme="0" tint="-0.14996795556505021"/>
      </top>
      <bottom style="thin">
        <color indexed="8"/>
      </bottom>
      <diagonal/>
    </border>
    <border>
      <left style="thin">
        <color rgb="FF000000"/>
      </left>
      <right/>
      <top/>
      <bottom style="thin">
        <color rgb="FF000000"/>
      </bottom>
      <diagonal/>
    </border>
    <border>
      <left/>
      <right/>
      <top/>
      <bottom style="medium">
        <color rgb="FF000000"/>
      </bottom>
      <diagonal/>
    </border>
    <border>
      <left style="thin">
        <color rgb="FF000000"/>
      </left>
      <right/>
      <top style="thin">
        <color rgb="FF000000"/>
      </top>
      <bottom style="medium">
        <color rgb="FF1360AD"/>
      </bottom>
      <diagonal/>
    </border>
    <border>
      <left/>
      <right/>
      <top style="thin">
        <color rgb="FF000000"/>
      </top>
      <bottom style="medium">
        <color rgb="FF1360AD"/>
      </bottom>
      <diagonal/>
    </border>
    <border>
      <left style="thin">
        <color rgb="FF000000"/>
      </left>
      <right/>
      <top/>
      <bottom style="medium">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medium">
        <color rgb="FF1360AD"/>
      </bottom>
      <diagonal/>
    </border>
    <border>
      <left/>
      <right style="thin">
        <color rgb="FF000000"/>
      </right>
      <top/>
      <bottom style="medium">
        <color rgb="FF000000"/>
      </bottom>
      <diagonal/>
    </border>
    <border>
      <left style="thin">
        <color indexed="64"/>
      </left>
      <right style="thin">
        <color indexed="64"/>
      </right>
      <top style="thin">
        <color theme="4"/>
      </top>
      <bottom/>
      <diagonal/>
    </border>
    <border>
      <left style="thick">
        <color indexed="9"/>
      </left>
      <right style="thick">
        <color indexed="9"/>
      </right>
      <top style="thick">
        <color theme="0"/>
      </top>
      <bottom style="thick">
        <color theme="0"/>
      </bottom>
      <diagonal/>
    </border>
    <border>
      <left style="thin">
        <color indexed="64"/>
      </left>
      <right style="thin">
        <color indexed="64"/>
      </right>
      <top style="thin">
        <color theme="4"/>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000000"/>
      </left>
      <right/>
      <top/>
      <bottom/>
      <diagonal/>
    </border>
    <border>
      <left/>
      <right style="thin">
        <color rgb="FF000000"/>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thin">
        <color theme="0" tint="-0.14996795556505021"/>
      </right>
      <top style="thin">
        <color theme="0" tint="-0.14996795556505021"/>
      </top>
      <bottom style="thin">
        <color indexed="64"/>
      </bottom>
      <diagonal/>
    </border>
    <border>
      <left style="thin">
        <color theme="0" tint="-0.14996795556505021"/>
      </left>
      <right style="thin">
        <color indexed="8"/>
      </right>
      <top style="thin">
        <color theme="0" tint="-0.14996795556505021"/>
      </top>
      <bottom style="thin">
        <color indexed="64"/>
      </bottom>
      <diagonal/>
    </border>
    <border>
      <left style="thick">
        <color indexed="9"/>
      </left>
      <right style="thick">
        <color indexed="9"/>
      </right>
      <top style="thick">
        <color theme="0"/>
      </top>
      <bottom style="thick">
        <color indexed="9"/>
      </bottom>
      <diagonal/>
    </border>
    <border>
      <left/>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indexed="9"/>
      </left>
      <right style="thick">
        <color indexed="9"/>
      </right>
      <top style="thick">
        <color indexed="9"/>
      </top>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bottom/>
      <diagonal/>
    </border>
    <border>
      <left style="thick">
        <color indexed="9"/>
      </left>
      <right style="thick">
        <color indexed="9"/>
      </right>
      <top/>
      <bottom style="thick">
        <color theme="0"/>
      </bottom>
      <diagonal/>
    </border>
    <border>
      <left/>
      <right style="thick">
        <color theme="0"/>
      </right>
      <top/>
      <bottom/>
      <diagonal/>
    </border>
    <border>
      <left/>
      <right/>
      <top style="thick">
        <color indexed="9"/>
      </top>
      <bottom/>
      <diagonal/>
    </border>
    <border>
      <left style="thick">
        <color indexed="9"/>
      </left>
      <right/>
      <top style="thick">
        <color indexed="9"/>
      </top>
      <bottom style="thick">
        <color indexed="9"/>
      </bottom>
      <diagonal/>
    </border>
    <border>
      <left/>
      <right style="thick">
        <color theme="0"/>
      </right>
      <top style="thick">
        <color indexed="9"/>
      </top>
      <bottom/>
      <diagonal/>
    </border>
    <border>
      <left style="thick">
        <color indexed="9"/>
      </left>
      <right style="thick">
        <color theme="0"/>
      </right>
      <top style="thick">
        <color indexed="9"/>
      </top>
      <bottom/>
      <diagonal/>
    </border>
    <border>
      <left style="thick">
        <color indexed="9"/>
      </left>
      <right style="thick">
        <color theme="0"/>
      </right>
      <top/>
      <bottom/>
      <diagonal/>
    </border>
    <border>
      <left style="thick">
        <color indexed="9"/>
      </left>
      <right style="thick">
        <color theme="0"/>
      </right>
      <top/>
      <bottom style="thick">
        <color theme="0"/>
      </bottom>
      <diagonal/>
    </border>
    <border>
      <left/>
      <right style="thin">
        <color indexed="64"/>
      </right>
      <top style="thin">
        <color theme="4"/>
      </top>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rgb="FF000000"/>
      </left>
      <right style="thin">
        <color rgb="FF000000"/>
      </right>
      <top style="thin">
        <color rgb="FF000000"/>
      </top>
      <bottom style="thin">
        <color rgb="FF000000"/>
      </bottom>
      <diagonal/>
    </border>
  </borders>
  <cellStyleXfs count="2615">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18" applyNumberFormat="0" applyFill="0" applyAlignment="0" applyProtection="0"/>
    <xf numFmtId="0" fontId="101" fillId="0" borderId="19" applyNumberFormat="0" applyFill="0" applyAlignment="0" applyProtection="0"/>
    <xf numFmtId="0" fontId="102" fillId="30" borderId="0" applyNumberFormat="0" applyBorder="0" applyAlignment="0" applyProtection="0"/>
    <xf numFmtId="0" fontId="103" fillId="31" borderId="0" applyNumberFormat="0" applyBorder="0" applyAlignment="0" applyProtection="0"/>
    <xf numFmtId="0" fontId="104" fillId="32" borderId="21" applyNumberFormat="0" applyAlignment="0" applyProtection="0"/>
    <xf numFmtId="0" fontId="105" fillId="32" borderId="20" applyNumberFormat="0" applyAlignment="0" applyProtection="0"/>
    <xf numFmtId="0" fontId="106" fillId="0" borderId="0" applyNumberFormat="0" applyFill="0" applyBorder="0" applyAlignment="0" applyProtection="0"/>
    <xf numFmtId="0" fontId="34" fillId="0" borderId="22" applyNumberFormat="0" applyFill="0" applyAlignment="0" applyProtection="0"/>
    <xf numFmtId="0" fontId="32"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0" borderId="0"/>
    <xf numFmtId="0" fontId="107"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8"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9" fillId="0" borderId="0"/>
    <xf numFmtId="0" fontId="110" fillId="0" borderId="0"/>
    <xf numFmtId="0" fontId="2" fillId="0" borderId="0"/>
    <xf numFmtId="0" fontId="2" fillId="0" borderId="0"/>
    <xf numFmtId="0" fontId="109" fillId="0" borderId="0"/>
    <xf numFmtId="0" fontId="5" fillId="0" borderId="0"/>
    <xf numFmtId="0" fontId="1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9"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1"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6"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8" fillId="0" borderId="0"/>
    <xf numFmtId="0" fontId="119" fillId="0" borderId="0"/>
    <xf numFmtId="176" fontId="119" fillId="0" borderId="0" applyFont="0" applyFill="0" applyBorder="0" applyAlignment="0" applyProtection="0"/>
    <xf numFmtId="9" fontId="119" fillId="0" borderId="0" applyFont="0" applyFill="0" applyBorder="0" applyAlignment="0" applyProtection="0"/>
    <xf numFmtId="180" fontId="31" fillId="0" borderId="0"/>
    <xf numFmtId="0" fontId="5" fillId="0" borderId="0"/>
    <xf numFmtId="0" fontId="135" fillId="0" borderId="0"/>
    <xf numFmtId="176" fontId="135" fillId="0" borderId="0" applyFont="0" applyFill="0" applyBorder="0" applyAlignment="0" applyProtection="0"/>
    <xf numFmtId="9" fontId="135" fillId="0" borderId="0" applyFont="0" applyFill="0" applyBorder="0" applyAlignment="0" applyProtection="0"/>
    <xf numFmtId="174" fontId="2" fillId="0" borderId="0"/>
    <xf numFmtId="0" fontId="138" fillId="0" borderId="0"/>
    <xf numFmtId="0" fontId="31" fillId="0" borderId="0"/>
    <xf numFmtId="0" fontId="31" fillId="0" borderId="0"/>
    <xf numFmtId="43" fontId="31" fillId="0" borderId="0" applyFont="0" applyFill="0" applyBorder="0" applyAlignment="0" applyProtection="0"/>
    <xf numFmtId="0" fontId="43" fillId="0" borderId="0"/>
    <xf numFmtId="0" fontId="139"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0"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1"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59" fillId="0" borderId="0"/>
    <xf numFmtId="176" fontId="259" fillId="0" borderId="0" applyFont="0" applyFill="0" applyBorder="0" applyAlignment="0" applyProtection="0"/>
    <xf numFmtId="9" fontId="259"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304" fillId="0" borderId="0">
      <alignment wrapText="1"/>
    </xf>
    <xf numFmtId="0" fontId="31" fillId="0" borderId="0"/>
    <xf numFmtId="0" fontId="312" fillId="0" borderId="0">
      <alignment wrapText="1"/>
    </xf>
    <xf numFmtId="0" fontId="31" fillId="0" borderId="0"/>
    <xf numFmtId="0" fontId="354"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44" fontId="31" fillId="0" borderId="0" applyFont="0" applyFill="0" applyBorder="0" applyAlignment="0" applyProtection="0"/>
  </cellStyleXfs>
  <cellXfs count="2403">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62"/>
    <xf numFmtId="2" fontId="0" fillId="0" borderId="0" xfId="0" applyNumberFormat="1"/>
    <xf numFmtId="174" fontId="58"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74" fontId="0" fillId="0" borderId="0" xfId="0" applyAlignment="1">
      <alignment horizontal="center" vertical="center"/>
    </xf>
    <xf numFmtId="10" fontId="0" fillId="0" borderId="0" xfId="521" applyNumberFormat="1" applyFont="1"/>
    <xf numFmtId="0" fontId="31" fillId="0" borderId="0" xfId="549"/>
    <xf numFmtId="17" fontId="67"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7" fillId="0" borderId="0" xfId="521" applyNumberFormat="1" applyFont="1" applyFill="1" applyBorder="1" applyAlignment="1">
      <alignment horizontal="center"/>
    </xf>
    <xf numFmtId="174" fontId="66" fillId="25" borderId="0" xfId="0" applyFont="1" applyFill="1" applyAlignment="1">
      <alignment horizontal="center" vertical="top"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6"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60"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4" fillId="0" borderId="0" xfId="549" applyFont="1"/>
    <xf numFmtId="171" fontId="31" fillId="0" borderId="0" xfId="521" applyNumberFormat="1"/>
    <xf numFmtId="174" fontId="48" fillId="0" borderId="0" xfId="359"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1" fillId="0" borderId="0" xfId="60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5"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4" fillId="0" borderId="0" xfId="0" applyFont="1"/>
    <xf numFmtId="2" fontId="87"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8" fillId="0" borderId="0" xfId="521" applyNumberFormat="1" applyFont="1"/>
    <xf numFmtId="9" fontId="4" fillId="0" borderId="0" xfId="521" applyFont="1" applyFill="1" applyBorder="1" applyAlignment="1">
      <alignment horizontal="right"/>
    </xf>
    <xf numFmtId="40" fontId="51"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1" fillId="25" borderId="0" xfId="294" applyNumberFormat="1" applyFont="1" applyFill="1" applyBorder="1" applyAlignment="1">
      <alignment horizontal="right" vertical="center"/>
    </xf>
    <xf numFmtId="43" fontId="48" fillId="0" borderId="0" xfId="0" applyNumberFormat="1" applyFont="1"/>
    <xf numFmtId="43" fontId="48" fillId="0" borderId="0" xfId="0" applyNumberFormat="1" applyFont="1" applyAlignment="1">
      <alignment vertical="center"/>
    </xf>
    <xf numFmtId="174" fontId="0" fillId="0" borderId="0" xfId="0" applyAlignment="1">
      <alignment horizontal="right" vertical="center"/>
    </xf>
    <xf numFmtId="0" fontId="0" fillId="0" borderId="0" xfId="713" applyFont="1"/>
    <xf numFmtId="10" fontId="94"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1"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8" fillId="0" borderId="0" xfId="521" applyFont="1"/>
    <xf numFmtId="43" fontId="31" fillId="0" borderId="0" xfId="549" applyNumberFormat="1"/>
    <xf numFmtId="0" fontId="49" fillId="0" borderId="0" xfId="713" applyFont="1" applyAlignment="1">
      <alignment horizontal="center"/>
    </xf>
    <xf numFmtId="178" fontId="48" fillId="0" borderId="0" xfId="0" applyNumberFormat="1" applyFont="1"/>
    <xf numFmtId="180" fontId="48"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5" fillId="0" borderId="0" xfId="0" applyFont="1" applyAlignment="1">
      <alignment vertical="center"/>
    </xf>
    <xf numFmtId="0" fontId="49" fillId="0" borderId="0" xfId="713" applyFont="1" applyAlignment="1">
      <alignment horizontal="center" wrapText="1"/>
    </xf>
    <xf numFmtId="174" fontId="34" fillId="0" borderId="0" xfId="0" applyFont="1" applyAlignment="1">
      <alignment vertical="center"/>
    </xf>
    <xf numFmtId="174" fontId="61" fillId="0" borderId="0" xfId="0" applyFont="1"/>
    <xf numFmtId="174" fontId="38" fillId="25" borderId="0" xfId="0" applyFont="1" applyFill="1" applyAlignment="1">
      <alignment horizontal="left" vertical="top" indent="1"/>
    </xf>
    <xf numFmtId="41" fontId="31" fillId="0" borderId="0" xfId="421" applyNumberFormat="1"/>
    <xf numFmtId="41" fontId="0" fillId="0" borderId="0" xfId="421" applyNumberFormat="1" applyFont="1" applyAlignment="1">
      <alignment vertical="center" wrapText="1"/>
    </xf>
    <xf numFmtId="41" fontId="55" fillId="0" borderId="0" xfId="421" applyNumberFormat="1" applyFont="1" applyAlignment="1">
      <alignment vertical="center" wrapText="1"/>
    </xf>
    <xf numFmtId="41" fontId="55" fillId="0" borderId="0" xfId="421" applyNumberFormat="1" applyFont="1"/>
    <xf numFmtId="41" fontId="55"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3" fillId="0" borderId="0" xfId="549" applyFont="1"/>
    <xf numFmtId="193" fontId="36" fillId="25" borderId="0" xfId="294" applyNumberFormat="1" applyFont="1" applyFill="1" applyBorder="1" applyAlignment="1">
      <alignment vertical="center"/>
    </xf>
    <xf numFmtId="0" fontId="112" fillId="0" borderId="0" xfId="549" applyFont="1" applyAlignment="1">
      <alignment vertical="center"/>
    </xf>
    <xf numFmtId="43" fontId="113" fillId="25" borderId="0" xfId="294" applyFont="1" applyFill="1" applyBorder="1" applyAlignment="1">
      <alignment vertical="center"/>
    </xf>
    <xf numFmtId="43" fontId="113" fillId="25" borderId="0" xfId="294" applyFont="1" applyFill="1" applyBorder="1" applyAlignment="1">
      <alignment horizontal="left" vertical="center"/>
    </xf>
    <xf numFmtId="0" fontId="112" fillId="0" borderId="0" xfId="549" applyFont="1"/>
    <xf numFmtId="174" fontId="36" fillId="0" borderId="0" xfId="0" applyFont="1" applyAlignment="1">
      <alignment vertical="center" wrapText="1"/>
    </xf>
    <xf numFmtId="196" fontId="0" fillId="0" borderId="0" xfId="0" applyNumberFormat="1"/>
    <xf numFmtId="168" fontId="115" fillId="0" borderId="0" xfId="294" applyNumberFormat="1" applyFont="1" applyAlignment="1">
      <alignment vertical="center"/>
    </xf>
    <xf numFmtId="41" fontId="120" fillId="25" borderId="12" xfId="2466" applyNumberFormat="1" applyFont="1" applyFill="1" applyBorder="1" applyAlignment="1">
      <alignment horizontal="left" vertical="center" wrapText="1"/>
    </xf>
    <xf numFmtId="0" fontId="124"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1" fillId="25" borderId="0" xfId="365"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21" applyNumberFormat="1" applyFont="1" applyFill="1" applyBorder="1" applyAlignment="1"/>
    <xf numFmtId="194" fontId="48" fillId="0" borderId="0" xfId="0" applyNumberFormat="1" applyFont="1"/>
    <xf numFmtId="194" fontId="35" fillId="0" borderId="0" xfId="0" applyNumberFormat="1" applyFont="1"/>
    <xf numFmtId="172" fontId="48" fillId="0" borderId="0" xfId="0" applyNumberFormat="1" applyFont="1" applyAlignment="1">
      <alignment horizontal="left" indent="1"/>
    </xf>
    <xf numFmtId="194" fontId="48" fillId="0" borderId="0" xfId="0" applyNumberFormat="1" applyFont="1" applyAlignment="1">
      <alignment horizontal="left" indent="1"/>
    </xf>
    <xf numFmtId="9" fontId="48" fillId="0" borderId="0" xfId="0" applyNumberFormat="1" applyFont="1"/>
    <xf numFmtId="10" fontId="35" fillId="0" borderId="0" xfId="521" applyNumberFormat="1" applyFont="1" applyFill="1" applyBorder="1" applyAlignment="1"/>
    <xf numFmtId="43" fontId="114" fillId="0" borderId="0" xfId="294" applyFont="1" applyAlignment="1">
      <alignment horizontal="center"/>
    </xf>
    <xf numFmtId="43" fontId="114" fillId="0" borderId="0" xfId="294" applyFont="1" applyAlignment="1">
      <alignment horizontal="center" vertical="center"/>
    </xf>
    <xf numFmtId="43" fontId="114" fillId="0" borderId="0" xfId="294" applyFont="1"/>
    <xf numFmtId="43" fontId="31" fillId="0" borderId="0" xfId="294"/>
    <xf numFmtId="195" fontId="125" fillId="25" borderId="12" xfId="1019" applyNumberFormat="1" applyFont="1" applyFill="1" applyBorder="1" applyAlignment="1">
      <alignment horizontal="right" vertical="center" wrapText="1"/>
    </xf>
    <xf numFmtId="0" fontId="31" fillId="66" borderId="0" xfId="1203" applyFill="1"/>
    <xf numFmtId="0" fontId="133" fillId="25" borderId="38" xfId="1203" applyFont="1" applyFill="1" applyBorder="1" applyAlignment="1">
      <alignment horizontal="left" vertical="center" wrapText="1" indent="2"/>
    </xf>
    <xf numFmtId="0" fontId="133" fillId="25" borderId="40" xfId="1203" applyFont="1" applyFill="1" applyBorder="1" applyAlignment="1">
      <alignment horizontal="left" vertical="center" wrapText="1" indent="2"/>
    </xf>
    <xf numFmtId="0" fontId="34" fillId="66" borderId="0" xfId="1203" applyFont="1" applyFill="1" applyAlignment="1">
      <alignment horizontal="center"/>
    </xf>
    <xf numFmtId="9" fontId="0" fillId="66" borderId="0" xfId="521" applyFont="1" applyFill="1"/>
    <xf numFmtId="0" fontId="55" fillId="66" borderId="0" xfId="1203" applyFont="1" applyFill="1"/>
    <xf numFmtId="0" fontId="133" fillId="0" borderId="38" xfId="1203" applyFont="1" applyBorder="1" applyAlignment="1">
      <alignment horizontal="left" vertical="center" wrapText="1" indent="2"/>
    </xf>
    <xf numFmtId="0" fontId="48" fillId="0" borderId="0" xfId="2466" applyFont="1"/>
    <xf numFmtId="0" fontId="114" fillId="0" borderId="0" xfId="2466" applyFont="1" applyAlignment="1">
      <alignment horizontal="left" vertical="center"/>
    </xf>
    <xf numFmtId="0" fontId="114" fillId="0" borderId="0" xfId="2466" applyFont="1" applyAlignment="1">
      <alignment vertical="center"/>
    </xf>
    <xf numFmtId="0" fontId="114" fillId="0" borderId="0" xfId="2466" applyFont="1" applyAlignment="1">
      <alignment horizontal="center" vertical="center"/>
    </xf>
    <xf numFmtId="0" fontId="65" fillId="0" borderId="0" xfId="2466" applyFont="1" applyAlignment="1">
      <alignment vertical="center"/>
    </xf>
    <xf numFmtId="0" fontId="115" fillId="0" borderId="0" xfId="2466" applyFont="1" applyAlignment="1">
      <alignment horizontal="center" vertical="center"/>
    </xf>
    <xf numFmtId="0" fontId="115" fillId="0" borderId="0" xfId="2466" applyFont="1"/>
    <xf numFmtId="0" fontId="115" fillId="0" borderId="0" xfId="2466" applyFont="1" applyAlignment="1">
      <alignment vertical="center"/>
    </xf>
    <xf numFmtId="0" fontId="120" fillId="0" borderId="12" xfId="2466" applyFont="1" applyBorder="1" applyAlignment="1">
      <alignment horizontal="left" vertical="center" wrapText="1"/>
    </xf>
    <xf numFmtId="41" fontId="114" fillId="0" borderId="0" xfId="2466" applyNumberFormat="1" applyFont="1" applyAlignment="1">
      <alignment vertical="center"/>
    </xf>
    <xf numFmtId="0" fontId="120" fillId="0" borderId="0" xfId="2466" applyFont="1" applyAlignment="1">
      <alignment horizontal="center" vertical="center" wrapText="1"/>
    </xf>
    <xf numFmtId="0" fontId="115" fillId="0" borderId="0" xfId="2466" applyFont="1" applyAlignment="1">
      <alignment horizontal="center"/>
    </xf>
    <xf numFmtId="0" fontId="122" fillId="60" borderId="12" xfId="2466" applyFont="1" applyFill="1" applyBorder="1" applyAlignment="1">
      <alignment horizontal="center" vertical="center" wrapText="1"/>
    </xf>
    <xf numFmtId="0" fontId="122" fillId="58" borderId="12" xfId="2466" applyFont="1" applyFill="1" applyBorder="1" applyAlignment="1">
      <alignment horizontal="left" vertical="center" wrapText="1"/>
    </xf>
    <xf numFmtId="0" fontId="120" fillId="0" borderId="12" xfId="2466" applyFont="1" applyBorder="1" applyAlignment="1">
      <alignment horizontal="left" vertical="center"/>
    </xf>
    <xf numFmtId="3" fontId="114" fillId="0" borderId="0" xfId="2466" applyNumberFormat="1" applyFont="1" applyAlignment="1">
      <alignment vertical="center"/>
    </xf>
    <xf numFmtId="41" fontId="114" fillId="64" borderId="12" xfId="2466" applyNumberFormat="1" applyFont="1" applyFill="1" applyBorder="1" applyAlignment="1">
      <alignment horizontal="left" vertical="center" wrapText="1"/>
    </xf>
    <xf numFmtId="41" fontId="122" fillId="58" borderId="12" xfId="2466" applyNumberFormat="1" applyFont="1" applyFill="1" applyBorder="1" applyAlignment="1">
      <alignment horizontal="left" vertical="center" wrapText="1"/>
    </xf>
    <xf numFmtId="0" fontId="114" fillId="0" borderId="0" xfId="2466" applyFont="1"/>
    <xf numFmtId="41" fontId="114" fillId="0" borderId="0" xfId="2466" applyNumberFormat="1" applyFont="1"/>
    <xf numFmtId="41" fontId="114" fillId="0" borderId="0" xfId="2466" applyNumberFormat="1" applyFont="1" applyAlignment="1">
      <alignment horizontal="left" vertical="center"/>
    </xf>
    <xf numFmtId="0" fontId="122" fillId="59" borderId="12" xfId="2466" applyFont="1" applyFill="1" applyBorder="1" applyAlignment="1">
      <alignment horizontal="left" vertical="center" wrapText="1"/>
    </xf>
    <xf numFmtId="0" fontId="122" fillId="61" borderId="12" xfId="2466" applyFont="1" applyFill="1" applyBorder="1" applyAlignment="1">
      <alignment horizontal="center" vertical="center" wrapText="1"/>
    </xf>
    <xf numFmtId="168" fontId="123" fillId="65" borderId="12" xfId="2552" applyNumberFormat="1" applyFont="1" applyFill="1" applyBorder="1" applyAlignment="1">
      <alignment horizontal="center" vertical="center"/>
    </xf>
    <xf numFmtId="41" fontId="122" fillId="59" borderId="12" xfId="2466" applyNumberFormat="1" applyFont="1" applyFill="1" applyBorder="1" applyAlignment="1">
      <alignment horizontal="left" vertical="center" wrapText="1"/>
    </xf>
    <xf numFmtId="41" fontId="122" fillId="59" borderId="12" xfId="2466" applyNumberFormat="1" applyFont="1" applyFill="1" applyBorder="1" applyAlignment="1">
      <alignment horizontal="center" vertical="center" wrapText="1"/>
    </xf>
    <xf numFmtId="168" fontId="114" fillId="0" borderId="0" xfId="2466" applyNumberFormat="1" applyFont="1" applyAlignment="1">
      <alignment horizontal="left" vertical="center"/>
    </xf>
    <xf numFmtId="168" fontId="114" fillId="0" borderId="0" xfId="2466" applyNumberFormat="1" applyFont="1" applyAlignment="1">
      <alignment horizontal="center" vertical="center"/>
    </xf>
    <xf numFmtId="10" fontId="120" fillId="25" borderId="12" xfId="2466" applyNumberFormat="1" applyFont="1" applyFill="1" applyBorder="1" applyAlignment="1">
      <alignment horizontal="right" vertical="center" wrapText="1"/>
    </xf>
    <xf numFmtId="0" fontId="120" fillId="25" borderId="12" xfId="2466" applyFont="1" applyFill="1" applyBorder="1" applyAlignment="1">
      <alignment horizontal="left" vertical="center" wrapText="1"/>
    </xf>
    <xf numFmtId="0" fontId="123" fillId="25" borderId="12" xfId="2466" applyFont="1" applyFill="1" applyBorder="1" applyAlignment="1">
      <alignment horizontal="left" vertical="center" wrapText="1"/>
    </xf>
    <xf numFmtId="179" fontId="120" fillId="25" borderId="12" xfId="2466" applyNumberFormat="1" applyFont="1" applyFill="1" applyBorder="1" applyAlignment="1">
      <alignment horizontal="right" vertical="center" wrapText="1"/>
    </xf>
    <xf numFmtId="0" fontId="123" fillId="25" borderId="12" xfId="2466" applyFont="1" applyFill="1" applyBorder="1" applyAlignment="1">
      <alignment horizontal="center" vertical="center" wrapText="1"/>
    </xf>
    <xf numFmtId="0" fontId="136" fillId="57" borderId="41" xfId="1203" applyFont="1" applyFill="1" applyBorder="1" applyAlignment="1">
      <alignment horizontal="center" vertical="center" wrapText="1"/>
    </xf>
    <xf numFmtId="0" fontId="136" fillId="57" borderId="42" xfId="1203" applyFont="1" applyFill="1" applyBorder="1" applyAlignment="1">
      <alignment horizontal="center" vertical="center" wrapText="1"/>
    </xf>
    <xf numFmtId="9" fontId="136" fillId="57" borderId="42" xfId="521" applyFont="1" applyFill="1" applyBorder="1" applyAlignment="1">
      <alignment horizontal="center" vertical="center" wrapText="1"/>
    </xf>
    <xf numFmtId="0" fontId="128" fillId="25" borderId="44" xfId="1203" applyFont="1" applyFill="1" applyBorder="1" applyAlignment="1">
      <alignment horizontal="left" vertical="center" wrapText="1" indent="2"/>
    </xf>
    <xf numFmtId="0" fontId="128" fillId="25" borderId="43" xfId="1203" applyFont="1" applyFill="1" applyBorder="1" applyAlignment="1">
      <alignment horizontal="left" vertical="center" wrapText="1" indent="2"/>
    </xf>
    <xf numFmtId="0" fontId="130" fillId="25" borderId="43" xfId="1203" applyFont="1" applyFill="1" applyBorder="1" applyAlignment="1">
      <alignment horizontal="left" vertical="center" wrapText="1" indent="2"/>
    </xf>
    <xf numFmtId="0" fontId="128" fillId="25" borderId="45" xfId="1203" applyFont="1" applyFill="1" applyBorder="1" applyAlignment="1">
      <alignment horizontal="left" vertical="center" wrapText="1" indent="2"/>
    </xf>
    <xf numFmtId="171" fontId="121" fillId="25" borderId="12" xfId="521" applyNumberFormat="1" applyFont="1" applyFill="1" applyBorder="1" applyAlignment="1">
      <alignment vertical="center"/>
    </xf>
    <xf numFmtId="195" fontId="125" fillId="0" borderId="12" xfId="0" applyNumberFormat="1" applyFont="1" applyBorder="1" applyAlignment="1">
      <alignment vertical="center" wrapText="1"/>
    </xf>
    <xf numFmtId="41" fontId="120" fillId="25" borderId="12" xfId="2466" applyNumberFormat="1" applyFont="1" applyFill="1" applyBorder="1" applyAlignment="1">
      <alignment vertical="center" wrapText="1"/>
    </xf>
    <xf numFmtId="41" fontId="64" fillId="57" borderId="13" xfId="2466"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174" fontId="63" fillId="0" borderId="0" xfId="417" applyFont="1" applyAlignment="1">
      <alignment vertical="center" wrapText="1"/>
    </xf>
    <xf numFmtId="174" fontId="0" fillId="0" borderId="12" xfId="0" applyBorder="1"/>
    <xf numFmtId="174" fontId="34" fillId="0" borderId="12" xfId="0" applyFont="1" applyBorder="1"/>
    <xf numFmtId="174" fontId="34" fillId="0" borderId="12" xfId="0" applyFont="1" applyBorder="1" applyAlignment="1">
      <alignment horizontal="center" vertical="center"/>
    </xf>
    <xf numFmtId="3" fontId="124" fillId="0" borderId="12" xfId="2470" applyNumberFormat="1" applyFont="1" applyBorder="1" applyAlignment="1">
      <alignment horizontal="center" vertical="center" wrapText="1"/>
    </xf>
    <xf numFmtId="174" fontId="31" fillId="0" borderId="0" xfId="890"/>
    <xf numFmtId="174" fontId="0" fillId="0" borderId="0" xfId="890" applyFont="1"/>
    <xf numFmtId="174" fontId="78" fillId="0" borderId="0" xfId="890" applyFont="1"/>
    <xf numFmtId="174" fontId="144" fillId="0" borderId="0" xfId="890" applyFont="1"/>
    <xf numFmtId="0" fontId="121" fillId="25" borderId="12" xfId="2466" applyFont="1" applyFill="1" applyBorder="1" applyAlignment="1">
      <alignment horizontal="left" vertical="center" wrapText="1" indent="6"/>
    </xf>
    <xf numFmtId="195" fontId="124" fillId="0" borderId="12" xfId="0" applyNumberFormat="1" applyFont="1" applyBorder="1" applyAlignment="1">
      <alignment horizontal="left" vertical="center" wrapText="1"/>
    </xf>
    <xf numFmtId="43" fontId="112" fillId="0" borderId="0" xfId="294" applyFont="1" applyAlignment="1">
      <alignment horizontal="right" vertical="center"/>
    </xf>
    <xf numFmtId="9" fontId="112" fillId="0" borderId="0" xfId="294" applyNumberFormat="1" applyFont="1" applyAlignment="1">
      <alignment horizontal="right" vertical="center"/>
    </xf>
    <xf numFmtId="3" fontId="38" fillId="25" borderId="12" xfId="0" applyNumberFormat="1" applyFont="1" applyFill="1" applyBorder="1" applyAlignment="1">
      <alignment horizontal="left" vertical="top" indent="1"/>
    </xf>
    <xf numFmtId="3" fontId="38" fillId="25" borderId="0" xfId="0" applyNumberFormat="1" applyFont="1" applyFill="1" applyAlignment="1">
      <alignment horizontal="left" vertical="top" indent="1"/>
    </xf>
    <xf numFmtId="174" fontId="47" fillId="25" borderId="12" xfId="0" applyFont="1" applyFill="1" applyBorder="1" applyAlignment="1">
      <alignment horizontal="left" vertical="top" indent="1"/>
    </xf>
    <xf numFmtId="174" fontId="47" fillId="25" borderId="0" xfId="0" applyFont="1" applyFill="1" applyAlignment="1">
      <alignment horizontal="left" vertical="top" indent="1"/>
    </xf>
    <xf numFmtId="41" fontId="120" fillId="28" borderId="12" xfId="2466" applyNumberFormat="1" applyFont="1" applyFill="1" applyBorder="1" applyAlignment="1">
      <alignment horizontal="center" vertical="center" wrapText="1"/>
    </xf>
    <xf numFmtId="179" fontId="114" fillId="0" borderId="0" xfId="2466" applyNumberFormat="1" applyFont="1" applyAlignment="1">
      <alignment vertical="center"/>
    </xf>
    <xf numFmtId="43" fontId="114" fillId="0" borderId="0" xfId="2466" applyNumberFormat="1" applyFont="1" applyAlignment="1">
      <alignment vertical="center"/>
    </xf>
    <xf numFmtId="171" fontId="45" fillId="0" borderId="0" xfId="521" applyNumberFormat="1" applyFont="1" applyFill="1" applyBorder="1" applyAlignment="1">
      <alignment horizontal="center"/>
    </xf>
    <xf numFmtId="174" fontId="91" fillId="0" borderId="0" xfId="0" applyFont="1" applyAlignment="1">
      <alignment vertical="center" wrapText="1"/>
    </xf>
    <xf numFmtId="174" fontId="91" fillId="0" borderId="0" xfId="0" applyFont="1" applyAlignment="1">
      <alignment vertical="center"/>
    </xf>
    <xf numFmtId="41" fontId="94" fillId="0" borderId="12" xfId="0" applyNumberFormat="1" applyFont="1" applyBorder="1" applyAlignment="1">
      <alignment vertical="center"/>
    </xf>
    <xf numFmtId="43" fontId="94" fillId="0" borderId="12" xfId="294" applyFont="1" applyBorder="1" applyAlignment="1">
      <alignment vertical="center"/>
    </xf>
    <xf numFmtId="41" fontId="122" fillId="60" borderId="12" xfId="2466" applyNumberFormat="1" applyFont="1" applyFill="1" applyBorder="1" applyAlignment="1">
      <alignment vertical="center" wrapText="1"/>
    </xf>
    <xf numFmtId="174" fontId="124" fillId="0" borderId="12" xfId="0" applyFont="1" applyBorder="1" applyAlignment="1">
      <alignment vertical="center" wrapText="1"/>
    </xf>
    <xf numFmtId="1" fontId="122" fillId="59" borderId="12" xfId="2466" applyNumberFormat="1" applyFont="1" applyFill="1" applyBorder="1" applyAlignment="1">
      <alignment horizontal="center" vertical="center" wrapText="1"/>
    </xf>
    <xf numFmtId="41" fontId="64" fillId="57" borderId="12" xfId="2466" applyNumberFormat="1" applyFont="1" applyFill="1" applyBorder="1" applyAlignment="1">
      <alignment horizontal="center" vertical="center" wrapText="1"/>
    </xf>
    <xf numFmtId="41" fontId="122" fillId="57" borderId="12" xfId="2466" applyNumberFormat="1" applyFont="1" applyFill="1" applyBorder="1" applyAlignment="1">
      <alignment horizontal="center" vertical="center" wrapText="1"/>
    </xf>
    <xf numFmtId="174" fontId="64" fillId="59" borderId="12" xfId="0" applyFont="1" applyFill="1" applyBorder="1" applyAlignment="1">
      <alignment vertical="center" wrapText="1"/>
    </xf>
    <xf numFmtId="195" fontId="64" fillId="59" borderId="12" xfId="0" applyNumberFormat="1" applyFont="1" applyFill="1" applyBorder="1" applyAlignment="1">
      <alignment horizontal="right" vertical="center" wrapText="1"/>
    </xf>
    <xf numFmtId="195" fontId="123" fillId="62" borderId="13" xfId="2466" applyNumberFormat="1" applyFont="1" applyFill="1" applyBorder="1" applyAlignment="1">
      <alignment vertical="center"/>
    </xf>
    <xf numFmtId="195" fontId="146" fillId="25" borderId="12" xfId="1019" applyNumberFormat="1" applyFont="1" applyFill="1" applyBorder="1" applyAlignment="1">
      <alignment horizontal="right" vertical="center" wrapText="1"/>
    </xf>
    <xf numFmtId="195" fontId="146" fillId="25" borderId="12" xfId="1019" applyNumberFormat="1" applyFont="1" applyFill="1" applyBorder="1" applyAlignment="1">
      <alignment vertical="center" wrapText="1"/>
    </xf>
    <xf numFmtId="0" fontId="64" fillId="57" borderId="12" xfId="2466" applyFont="1" applyFill="1" applyBorder="1" applyAlignment="1">
      <alignment horizontal="left" vertical="center" wrapText="1"/>
    </xf>
    <xf numFmtId="195" fontId="147" fillId="25" borderId="12" xfId="1019" applyNumberFormat="1" applyFont="1" applyFill="1" applyBorder="1" applyAlignment="1">
      <alignment horizontal="right" vertical="center" wrapText="1"/>
    </xf>
    <xf numFmtId="174" fontId="150" fillId="0" borderId="0" xfId="0" applyFont="1"/>
    <xf numFmtId="174" fontId="151" fillId="0" borderId="0" xfId="0" applyFont="1"/>
    <xf numFmtId="0" fontId="31" fillId="68" borderId="0" xfId="2582" applyFill="1"/>
    <xf numFmtId="43" fontId="0" fillId="68" borderId="0" xfId="2588" applyFont="1" applyFill="1"/>
    <xf numFmtId="0" fontId="48" fillId="68" borderId="0" xfId="2582" applyFont="1" applyFill="1"/>
    <xf numFmtId="43" fontId="48" fillId="68" borderId="0" xfId="2588" applyFont="1" applyFill="1"/>
    <xf numFmtId="0" fontId="31" fillId="68" borderId="0" xfId="2582" applyFill="1" applyAlignment="1">
      <alignment horizontal="center"/>
    </xf>
    <xf numFmtId="4" fontId="31" fillId="68" borderId="0" xfId="2582" applyNumberFormat="1" applyFill="1" applyAlignment="1">
      <alignment horizontal="right"/>
    </xf>
    <xf numFmtId="0" fontId="32" fillId="57" borderId="0" xfId="2582" applyFont="1" applyFill="1" applyAlignment="1">
      <alignment horizontal="center" vertical="center"/>
    </xf>
    <xf numFmtId="4" fontId="32" fillId="57" borderId="0" xfId="2582" applyNumberFormat="1" applyFont="1" applyFill="1" applyAlignment="1">
      <alignment horizontal="center" vertical="center"/>
    </xf>
    <xf numFmtId="0" fontId="31" fillId="68" borderId="0" xfId="2582" applyFill="1" applyAlignment="1">
      <alignment horizontal="center" vertical="center"/>
    </xf>
    <xf numFmtId="43" fontId="0" fillId="68" borderId="0" xfId="2588" applyFont="1" applyFill="1" applyAlignment="1">
      <alignment horizontal="center" vertical="center"/>
    </xf>
    <xf numFmtId="0" fontId="31" fillId="68" borderId="0" xfId="2582" applyFill="1" applyAlignment="1">
      <alignment horizontal="left"/>
    </xf>
    <xf numFmtId="190" fontId="0" fillId="68" borderId="0" xfId="2588" applyNumberFormat="1" applyFont="1" applyFill="1" applyAlignment="1">
      <alignment horizontal="left"/>
    </xf>
    <xf numFmtId="4" fontId="31" fillId="68" borderId="0" xfId="2582" applyNumberFormat="1" applyFill="1" applyAlignment="1">
      <alignment horizontal="left"/>
    </xf>
    <xf numFmtId="10" fontId="0" fillId="68" borderId="0" xfId="2583" applyNumberFormat="1" applyFont="1" applyFill="1" applyAlignment="1">
      <alignment horizontal="left"/>
    </xf>
    <xf numFmtId="0" fontId="155" fillId="68" borderId="0" xfId="428" applyFont="1" applyFill="1" applyAlignment="1">
      <alignment horizontal="left"/>
    </xf>
    <xf numFmtId="0" fontId="152" fillId="68" borderId="0" xfId="428" applyFont="1" applyFill="1" applyAlignment="1">
      <alignment horizontal="left"/>
    </xf>
    <xf numFmtId="0" fontId="32" fillId="57" borderId="0" xfId="2582" applyFont="1" applyFill="1" applyAlignment="1">
      <alignment horizontal="center"/>
    </xf>
    <xf numFmtId="0" fontId="32" fillId="57" borderId="0" xfId="2582" applyFont="1" applyFill="1" applyAlignment="1">
      <alignment horizontal="left"/>
    </xf>
    <xf numFmtId="4" fontId="32" fillId="57" borderId="0" xfId="2582" applyNumberFormat="1" applyFont="1" applyFill="1" applyAlignment="1">
      <alignment horizontal="right"/>
    </xf>
    <xf numFmtId="190" fontId="0" fillId="68" borderId="0" xfId="2588" applyNumberFormat="1" applyFont="1" applyFill="1" applyAlignment="1">
      <alignment horizontal="center"/>
    </xf>
    <xf numFmtId="4" fontId="48" fillId="68" borderId="0" xfId="0" applyNumberFormat="1" applyFont="1" applyFill="1" applyAlignment="1">
      <alignment horizontal="right"/>
    </xf>
    <xf numFmtId="174" fontId="0" fillId="68" borderId="0" xfId="0" applyFill="1" applyAlignment="1">
      <alignment horizontal="center"/>
    </xf>
    <xf numFmtId="174" fontId="0" fillId="68" borderId="0" xfId="0" applyFill="1"/>
    <xf numFmtId="174" fontId="48" fillId="68" borderId="0" xfId="0" applyFont="1" applyFill="1" applyAlignment="1">
      <alignment horizontal="center"/>
    </xf>
    <xf numFmtId="174" fontId="32" fillId="57" borderId="0" xfId="0" applyFont="1" applyFill="1" applyAlignment="1">
      <alignment horizontal="center"/>
    </xf>
    <xf numFmtId="174" fontId="32" fillId="57" borderId="12" xfId="0" applyFont="1" applyFill="1" applyBorder="1" applyAlignment="1">
      <alignment horizontal="left"/>
    </xf>
    <xf numFmtId="174" fontId="32" fillId="57" borderId="12" xfId="0" applyFont="1" applyFill="1" applyBorder="1" applyAlignment="1">
      <alignment horizontal="center"/>
    </xf>
    <xf numFmtId="4" fontId="32" fillId="57" borderId="12" xfId="0" applyNumberFormat="1" applyFont="1" applyFill="1" applyBorder="1" applyAlignment="1">
      <alignment horizontal="right"/>
    </xf>
    <xf numFmtId="174" fontId="0" fillId="68" borderId="12" xfId="0" applyFill="1" applyBorder="1" applyAlignment="1">
      <alignment horizontal="left"/>
    </xf>
    <xf numFmtId="190" fontId="0" fillId="68" borderId="12" xfId="294" applyNumberFormat="1" applyFont="1" applyFill="1" applyBorder="1" applyAlignment="1">
      <alignment horizontal="center"/>
    </xf>
    <xf numFmtId="4" fontId="0" fillId="68" borderId="12" xfId="0" applyNumberFormat="1" applyFill="1" applyBorder="1" applyAlignment="1">
      <alignment horizontal="right"/>
    </xf>
    <xf numFmtId="174" fontId="0" fillId="68" borderId="0" xfId="0" applyFill="1" applyAlignment="1">
      <alignment horizontal="right"/>
    </xf>
    <xf numFmtId="174" fontId="0" fillId="68" borderId="0" xfId="0" applyFill="1" applyAlignment="1">
      <alignment horizontal="left"/>
    </xf>
    <xf numFmtId="4" fontId="0" fillId="68" borderId="0" xfId="0" applyNumberFormat="1" applyFill="1" applyAlignment="1">
      <alignment horizontal="right"/>
    </xf>
    <xf numFmtId="174" fontId="32" fillId="57" borderId="0" xfId="0" applyFont="1" applyFill="1" applyAlignment="1">
      <alignment horizontal="left"/>
    </xf>
    <xf numFmtId="4" fontId="32" fillId="57" borderId="0" xfId="0" applyNumberFormat="1" applyFont="1" applyFill="1" applyAlignment="1">
      <alignment horizontal="right"/>
    </xf>
    <xf numFmtId="190" fontId="0" fillId="68" borderId="0" xfId="294" applyNumberFormat="1" applyFont="1" applyFill="1" applyAlignment="1">
      <alignment horizontal="center"/>
    </xf>
    <xf numFmtId="174" fontId="157" fillId="0" borderId="0" xfId="0" applyFont="1"/>
    <xf numFmtId="10" fontId="158" fillId="0" borderId="0" xfId="521" applyNumberFormat="1" applyFont="1" applyAlignment="1">
      <alignment vertical="center"/>
    </xf>
    <xf numFmtId="10" fontId="160" fillId="0" borderId="0" xfId="521" applyNumberFormat="1" applyFont="1" applyAlignment="1">
      <alignment vertical="center"/>
    </xf>
    <xf numFmtId="10" fontId="162" fillId="0" borderId="0" xfId="521" applyNumberFormat="1" applyFont="1" applyAlignment="1">
      <alignment vertical="center"/>
    </xf>
    <xf numFmtId="174" fontId="163" fillId="0" borderId="0" xfId="0" applyFont="1"/>
    <xf numFmtId="174" fontId="164" fillId="0" borderId="0" xfId="0" applyFont="1"/>
    <xf numFmtId="9" fontId="165" fillId="0" borderId="0" xfId="521" applyFont="1"/>
    <xf numFmtId="10" fontId="166" fillId="0" borderId="0" xfId="521" applyNumberFormat="1" applyFont="1" applyBorder="1" applyAlignment="1">
      <alignment vertical="center"/>
    </xf>
    <xf numFmtId="41" fontId="157" fillId="0" borderId="0" xfId="0" applyNumberFormat="1" applyFont="1"/>
    <xf numFmtId="174" fontId="167" fillId="0" borderId="0" xfId="0" applyFont="1" applyAlignment="1">
      <alignment vertical="center" readingOrder="1"/>
    </xf>
    <xf numFmtId="174" fontId="170" fillId="0" borderId="0" xfId="0" applyFont="1"/>
    <xf numFmtId="174" fontId="172" fillId="57" borderId="12" xfId="0" applyFont="1" applyFill="1" applyBorder="1" applyAlignment="1">
      <alignment horizontal="left"/>
    </xf>
    <xf numFmtId="174" fontId="172" fillId="57" borderId="12" xfId="0" applyFont="1" applyFill="1" applyBorder="1" applyAlignment="1">
      <alignment horizontal="center"/>
    </xf>
    <xf numFmtId="4" fontId="172" fillId="57" borderId="12" xfId="0" applyNumberFormat="1" applyFont="1" applyFill="1" applyBorder="1" applyAlignment="1">
      <alignment horizontal="right"/>
    </xf>
    <xf numFmtId="174" fontId="65" fillId="68" borderId="12" xfId="0" applyFont="1" applyFill="1" applyBorder="1" applyAlignment="1">
      <alignment horizontal="left"/>
    </xf>
    <xf numFmtId="190" fontId="65" fillId="68" borderId="12" xfId="294" applyNumberFormat="1" applyFont="1" applyFill="1" applyBorder="1" applyAlignment="1">
      <alignment horizontal="center"/>
    </xf>
    <xf numFmtId="4" fontId="65" fillId="68" borderId="12" xfId="0" applyNumberFormat="1" applyFont="1" applyFill="1" applyBorder="1" applyAlignment="1">
      <alignment horizontal="right"/>
    </xf>
    <xf numFmtId="174" fontId="168" fillId="0" borderId="0" xfId="0" applyFont="1" applyAlignment="1">
      <alignment vertical="center" readingOrder="1"/>
    </xf>
    <xf numFmtId="171" fontId="157" fillId="0" borderId="0" xfId="521" applyNumberFormat="1" applyFont="1"/>
    <xf numFmtId="10" fontId="157" fillId="0" borderId="0" xfId="521" applyNumberFormat="1" applyFont="1"/>
    <xf numFmtId="178" fontId="157" fillId="0" borderId="0" xfId="0" applyNumberFormat="1" applyFont="1"/>
    <xf numFmtId="174" fontId="143" fillId="0" borderId="0" xfId="0" applyFont="1" applyAlignment="1">
      <alignment horizontal="center" vertical="center"/>
    </xf>
    <xf numFmtId="174" fontId="177" fillId="0" borderId="0" xfId="0" applyFont="1"/>
    <xf numFmtId="174" fontId="156" fillId="0" borderId="0" xfId="0" applyFont="1" applyAlignment="1">
      <alignment horizontal="center" vertical="center" wrapText="1"/>
    </xf>
    <xf numFmtId="168" fontId="178" fillId="0" borderId="0" xfId="0" applyNumberFormat="1" applyFont="1"/>
    <xf numFmtId="174" fontId="178" fillId="0" borderId="0" xfId="0" applyFont="1"/>
    <xf numFmtId="174" fontId="179" fillId="0" borderId="0" xfId="0" applyFont="1"/>
    <xf numFmtId="174" fontId="180" fillId="0" borderId="0" xfId="0" applyFont="1"/>
    <xf numFmtId="174" fontId="182" fillId="0" borderId="0" xfId="0" applyFont="1" applyAlignment="1">
      <alignment horizontal="center"/>
    </xf>
    <xf numFmtId="174" fontId="182" fillId="0" borderId="0" xfId="0" applyFont="1"/>
    <xf numFmtId="174" fontId="157" fillId="0" borderId="0" xfId="0" applyFont="1" applyAlignment="1">
      <alignment horizontal="center"/>
    </xf>
    <xf numFmtId="174" fontId="186" fillId="0" borderId="0" xfId="0" applyFont="1"/>
    <xf numFmtId="174" fontId="4" fillId="0" borderId="0" xfId="0" applyFont="1"/>
    <xf numFmtId="174" fontId="143" fillId="0" borderId="0" xfId="0" applyFont="1"/>
    <xf numFmtId="3" fontId="4" fillId="0" borderId="0" xfId="0" applyNumberFormat="1" applyFont="1"/>
    <xf numFmtId="1" fontId="157" fillId="0" borderId="0" xfId="0" applyNumberFormat="1" applyFont="1"/>
    <xf numFmtId="1" fontId="4" fillId="0" borderId="0" xfId="0" applyNumberFormat="1" applyFont="1"/>
    <xf numFmtId="43" fontId="157" fillId="0" borderId="0" xfId="294" applyFont="1" applyFill="1" applyBorder="1"/>
    <xf numFmtId="3" fontId="190"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77" fillId="25" borderId="0" xfId="0" applyFont="1" applyFill="1"/>
    <xf numFmtId="174" fontId="177"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7" fillId="0" borderId="0" xfId="0" applyNumberFormat="1" applyFont="1" applyAlignment="1">
      <alignment horizontal="center"/>
    </xf>
    <xf numFmtId="174" fontId="157" fillId="0" borderId="0" xfId="0" applyFont="1" applyAlignment="1">
      <alignment horizontal="right" indent="1"/>
    </xf>
    <xf numFmtId="174" fontId="157" fillId="0" borderId="0" xfId="0" applyFont="1" applyAlignment="1">
      <alignment horizontal="right"/>
    </xf>
    <xf numFmtId="171" fontId="157" fillId="0" borderId="0" xfId="521" applyNumberFormat="1" applyFont="1" applyAlignment="1">
      <alignment horizontal="right"/>
    </xf>
    <xf numFmtId="171" fontId="186" fillId="0" borderId="12" xfId="521" applyNumberFormat="1" applyFont="1" applyBorder="1" applyAlignment="1">
      <alignment horizontal="right"/>
    </xf>
    <xf numFmtId="171" fontId="157" fillId="0" borderId="12" xfId="521" applyNumberFormat="1" applyFont="1" applyBorder="1" applyAlignment="1">
      <alignment horizontal="right" indent="1"/>
    </xf>
    <xf numFmtId="10" fontId="157" fillId="0" borderId="0" xfId="0" applyNumberFormat="1" applyFont="1"/>
    <xf numFmtId="41" fontId="157" fillId="0" borderId="12" xfId="0" applyNumberFormat="1" applyFont="1" applyBorder="1" applyAlignment="1">
      <alignment horizontal="right" indent="1"/>
    </xf>
    <xf numFmtId="171" fontId="157" fillId="0" borderId="12" xfId="521" applyNumberFormat="1" applyFont="1" applyBorder="1"/>
    <xf numFmtId="171" fontId="186" fillId="0" borderId="12" xfId="521" applyNumberFormat="1" applyFont="1" applyBorder="1" applyAlignment="1">
      <alignment horizontal="center"/>
    </xf>
    <xf numFmtId="185" fontId="157" fillId="0" borderId="0" xfId="0" applyNumberFormat="1" applyFont="1"/>
    <xf numFmtId="187" fontId="157" fillId="0" borderId="0" xfId="0" applyNumberFormat="1" applyFont="1"/>
    <xf numFmtId="43" fontId="157" fillId="0" borderId="0" xfId="0" applyNumberFormat="1" applyFont="1"/>
    <xf numFmtId="187" fontId="180" fillId="0" borderId="0" xfId="0" applyNumberFormat="1" applyFont="1"/>
    <xf numFmtId="180" fontId="157" fillId="0" borderId="0" xfId="0" applyNumberFormat="1" applyFont="1"/>
    <xf numFmtId="43" fontId="180" fillId="0" borderId="0" xfId="0" applyNumberFormat="1" applyFont="1"/>
    <xf numFmtId="171" fontId="157" fillId="0" borderId="0" xfId="521" applyNumberFormat="1" applyFont="1" applyBorder="1"/>
    <xf numFmtId="180" fontId="157" fillId="0" borderId="0" xfId="521" applyNumberFormat="1" applyFont="1"/>
    <xf numFmtId="187" fontId="143" fillId="0" borderId="0" xfId="0" applyNumberFormat="1" applyFont="1"/>
    <xf numFmtId="2" fontId="157" fillId="0" borderId="0" xfId="521" applyNumberFormat="1" applyFont="1" applyBorder="1"/>
    <xf numFmtId="174" fontId="157" fillId="0" borderId="0" xfId="0" applyFont="1" applyAlignment="1">
      <alignment vertical="center"/>
    </xf>
    <xf numFmtId="2" fontId="157" fillId="0" borderId="0" xfId="521" applyNumberFormat="1" applyFont="1" applyBorder="1" applyAlignment="1">
      <alignment vertical="center"/>
    </xf>
    <xf numFmtId="2" fontId="145" fillId="0" borderId="0" xfId="521" applyNumberFormat="1" applyFont="1" applyBorder="1"/>
    <xf numFmtId="168" fontId="194" fillId="0" borderId="0" xfId="294" applyNumberFormat="1" applyFont="1" applyFill="1" applyBorder="1" applyAlignment="1">
      <alignment horizontal="center"/>
    </xf>
    <xf numFmtId="174" fontId="194" fillId="0" borderId="0" xfId="0" applyFont="1"/>
    <xf numFmtId="43" fontId="194" fillId="0" borderId="0" xfId="0" applyNumberFormat="1" applyFont="1"/>
    <xf numFmtId="179" fontId="195" fillId="0" borderId="12" xfId="0" applyNumberFormat="1" applyFont="1" applyBorder="1" applyAlignment="1">
      <alignment horizontal="center" vertical="center" wrapText="1"/>
    </xf>
    <xf numFmtId="171" fontId="195" fillId="0" borderId="12" xfId="521" applyNumberFormat="1" applyFont="1" applyBorder="1" applyAlignment="1">
      <alignment horizontal="center" vertical="center" wrapText="1"/>
    </xf>
    <xf numFmtId="174" fontId="196" fillId="0" borderId="12" xfId="0" applyFont="1" applyBorder="1" applyAlignment="1">
      <alignment horizontal="left" vertical="center" wrapText="1"/>
    </xf>
    <xf numFmtId="179" fontId="197" fillId="0" borderId="12" xfId="0" applyNumberFormat="1" applyFont="1" applyBorder="1" applyAlignment="1">
      <alignment horizontal="left" vertical="center" wrapText="1"/>
    </xf>
    <xf numFmtId="171" fontId="196" fillId="0" borderId="12" xfId="521" applyNumberFormat="1" applyFont="1" applyBorder="1" applyAlignment="1">
      <alignment horizontal="right" vertical="center" wrapText="1"/>
    </xf>
    <xf numFmtId="10" fontId="194" fillId="0" borderId="0" xfId="521" applyNumberFormat="1" applyFont="1" applyAlignment="1">
      <alignment vertical="top"/>
    </xf>
    <xf numFmtId="179" fontId="198" fillId="0" borderId="12" xfId="0" applyNumberFormat="1" applyFont="1" applyBorder="1" applyAlignment="1">
      <alignment horizontal="left" vertical="center" wrapText="1"/>
    </xf>
    <xf numFmtId="171" fontId="199" fillId="0" borderId="12" xfId="521" applyNumberFormat="1" applyFont="1" applyBorder="1" applyAlignment="1">
      <alignment horizontal="right" vertical="center" wrapText="1"/>
    </xf>
    <xf numFmtId="171" fontId="194" fillId="0" borderId="0" xfId="521" applyNumberFormat="1" applyFont="1"/>
    <xf numFmtId="171" fontId="195" fillId="0" borderId="12" xfId="521" applyNumberFormat="1" applyFont="1" applyBorder="1" applyAlignment="1">
      <alignment horizontal="right" vertical="center" wrapText="1"/>
    </xf>
    <xf numFmtId="43" fontId="201" fillId="0" borderId="0" xfId="0" applyNumberFormat="1" applyFont="1"/>
    <xf numFmtId="179" fontId="196" fillId="0" borderId="12" xfId="0" applyNumberFormat="1" applyFont="1" applyBorder="1" applyAlignment="1">
      <alignment horizontal="left" vertical="center" wrapText="1"/>
    </xf>
    <xf numFmtId="174" fontId="186" fillId="0" borderId="12" xfId="0" applyFont="1" applyBorder="1" applyAlignment="1">
      <alignment horizontal="left" vertical="center" wrapText="1"/>
    </xf>
    <xf numFmtId="174" fontId="157" fillId="0" borderId="0" xfId="0" applyFont="1" applyAlignment="1">
      <alignment horizontal="left"/>
    </xf>
    <xf numFmtId="41" fontId="197" fillId="0" borderId="12" xfId="0" applyNumberFormat="1" applyFont="1" applyBorder="1" applyAlignment="1">
      <alignment horizontal="center" vertical="center" wrapText="1"/>
    </xf>
    <xf numFmtId="179" fontId="197" fillId="0" borderId="12" xfId="0" applyNumberFormat="1" applyFont="1" applyBorder="1" applyAlignment="1">
      <alignment horizontal="center" vertical="center" wrapText="1"/>
    </xf>
    <xf numFmtId="179" fontId="196" fillId="0" borderId="12" xfId="0" applyNumberFormat="1" applyFont="1" applyBorder="1" applyAlignment="1">
      <alignment horizontal="center" vertical="center" wrapText="1"/>
    </xf>
    <xf numFmtId="174" fontId="201" fillId="0" borderId="0" xfId="0" applyFont="1" applyAlignment="1">
      <alignment horizontal="center"/>
    </xf>
    <xf numFmtId="10" fontId="201" fillId="0" borderId="0" xfId="521" applyNumberFormat="1" applyFont="1" applyAlignment="1"/>
    <xf numFmtId="174" fontId="70" fillId="0" borderId="0" xfId="0" applyFont="1" applyAlignment="1">
      <alignment vertical="center" wrapText="1"/>
    </xf>
    <xf numFmtId="181" fontId="61" fillId="25" borderId="0" xfId="0" applyNumberFormat="1" applyFont="1" applyFill="1" applyAlignment="1">
      <alignment horizontal="left" vertical="center" wrapText="1"/>
    </xf>
    <xf numFmtId="0" fontId="157" fillId="0" borderId="0" xfId="714" applyFont="1"/>
    <xf numFmtId="168" fontId="157" fillId="0" borderId="0" xfId="294" applyNumberFormat="1" applyFont="1"/>
    <xf numFmtId="174" fontId="183" fillId="0" borderId="0" xfId="0" applyFont="1" applyAlignment="1">
      <alignment horizontal="center" vertical="center" wrapText="1"/>
    </xf>
    <xf numFmtId="174" fontId="204" fillId="0" borderId="0" xfId="0" applyFont="1"/>
    <xf numFmtId="10" fontId="177" fillId="0" borderId="0" xfId="521" applyNumberFormat="1" applyFont="1"/>
    <xf numFmtId="174" fontId="177" fillId="0" borderId="0" xfId="0" applyFont="1" applyAlignment="1">
      <alignment vertical="center"/>
    </xf>
    <xf numFmtId="178" fontId="186" fillId="0" borderId="0" xfId="0" applyNumberFormat="1" applyFont="1"/>
    <xf numFmtId="197" fontId="157" fillId="0" borderId="0" xfId="0" applyNumberFormat="1" applyFont="1"/>
    <xf numFmtId="174" fontId="157" fillId="0" borderId="0" xfId="0" applyFont="1" applyAlignment="1">
      <alignment horizontal="center" vertical="center"/>
    </xf>
    <xf numFmtId="174" fontId="148" fillId="0" borderId="0" xfId="0" applyFont="1" applyAlignment="1">
      <alignment horizontal="center" vertical="center" wrapText="1"/>
    </xf>
    <xf numFmtId="197" fontId="2" fillId="25" borderId="0" xfId="0" applyNumberFormat="1" applyFont="1" applyFill="1" applyAlignment="1">
      <alignment horizontal="left" vertical="center" indent="1"/>
    </xf>
    <xf numFmtId="174" fontId="205" fillId="0" borderId="0" xfId="0" applyFont="1" applyAlignment="1">
      <alignment vertical="center"/>
    </xf>
    <xf numFmtId="197" fontId="205" fillId="0" borderId="0" xfId="0" applyNumberFormat="1" applyFont="1" applyAlignment="1">
      <alignment vertical="center"/>
    </xf>
    <xf numFmtId="174" fontId="157" fillId="0" borderId="0" xfId="413" applyFont="1"/>
    <xf numFmtId="174" fontId="157" fillId="0" borderId="0" xfId="362" applyFont="1"/>
    <xf numFmtId="174" fontId="206" fillId="0" borderId="0" xfId="362" applyFont="1" applyAlignment="1">
      <alignment horizontal="center"/>
    </xf>
    <xf numFmtId="174" fontId="45" fillId="25" borderId="0" xfId="0" applyFont="1" applyFill="1" applyAlignment="1">
      <alignment horizontal="left" vertical="center" wrapText="1"/>
    </xf>
    <xf numFmtId="174" fontId="59"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26" xfId="0" applyNumberFormat="1" applyFont="1" applyBorder="1" applyAlignment="1">
      <alignment horizontal="center" vertical="center"/>
    </xf>
    <xf numFmtId="9" fontId="157" fillId="0" borderId="0" xfId="521" applyFont="1"/>
    <xf numFmtId="174" fontId="157" fillId="0" borderId="0" xfId="0" applyFont="1" applyAlignment="1">
      <alignment horizontal="left" indent="1"/>
    </xf>
    <xf numFmtId="174" fontId="148" fillId="25" borderId="0" xfId="0" applyFont="1" applyFill="1" applyAlignment="1">
      <alignment horizontal="center" vertical="center" wrapText="1"/>
    </xf>
    <xf numFmtId="174" fontId="157" fillId="25" borderId="0" xfId="0" applyFont="1" applyFill="1" applyAlignment="1">
      <alignment vertical="center"/>
    </xf>
    <xf numFmtId="49" fontId="194" fillId="0" borderId="0" xfId="0" applyNumberFormat="1" applyFont="1"/>
    <xf numFmtId="168" fontId="174" fillId="25" borderId="0" xfId="294" applyNumberFormat="1" applyFont="1" applyFill="1" applyBorder="1" applyAlignment="1">
      <alignment horizontal="right" vertical="center"/>
    </xf>
    <xf numFmtId="49" fontId="157" fillId="0" borderId="0" xfId="0" applyNumberFormat="1" applyFont="1"/>
    <xf numFmtId="174" fontId="96" fillId="25" borderId="0" xfId="0" applyFont="1" applyFill="1" applyAlignment="1">
      <alignment horizontal="center" vertical="center" wrapText="1"/>
    </xf>
    <xf numFmtId="0" fontId="157" fillId="0" borderId="0" xfId="889" applyFont="1"/>
    <xf numFmtId="0" fontId="186" fillId="0" borderId="0" xfId="889" applyFont="1"/>
    <xf numFmtId="0" fontId="157" fillId="25" borderId="0" xfId="889" applyFont="1" applyFill="1"/>
    <xf numFmtId="0" fontId="3" fillId="0" borderId="17" xfId="889" applyFont="1" applyBorder="1" applyAlignment="1">
      <alignment horizontal="left" vertical="center"/>
    </xf>
    <xf numFmtId="0" fontId="96" fillId="25" borderId="0" xfId="889" applyFont="1" applyFill="1" applyAlignment="1">
      <alignment horizontal="center" vertical="center" wrapText="1"/>
    </xf>
    <xf numFmtId="168" fontId="96" fillId="25" borderId="0" xfId="294" applyNumberFormat="1" applyFont="1" applyFill="1" applyBorder="1" applyAlignment="1">
      <alignment vertical="center"/>
    </xf>
    <xf numFmtId="0" fontId="177" fillId="0" borderId="0" xfId="889" applyFont="1"/>
    <xf numFmtId="168" fontId="177" fillId="0" borderId="0" xfId="889" applyNumberFormat="1" applyFont="1"/>
    <xf numFmtId="171" fontId="177" fillId="0" borderId="0" xfId="1093" applyNumberFormat="1" applyFont="1" applyAlignment="1">
      <alignment horizontal="center"/>
    </xf>
    <xf numFmtId="179" fontId="94" fillId="0" borderId="12" xfId="0" applyNumberFormat="1" applyFont="1" applyBorder="1" applyAlignment="1">
      <alignment vertical="center"/>
    </xf>
    <xf numFmtId="174" fontId="157" fillId="0" borderId="0" xfId="0" applyFont="1" applyAlignment="1">
      <alignment vertical="top"/>
    </xf>
    <xf numFmtId="174" fontId="165" fillId="0" borderId="0" xfId="0" applyFont="1"/>
    <xf numFmtId="174" fontId="215" fillId="0" borderId="0" xfId="1087" quotePrefix="1" applyFont="1" applyAlignment="1" applyProtection="1"/>
    <xf numFmtId="174" fontId="205" fillId="0" borderId="0" xfId="0" applyFont="1"/>
    <xf numFmtId="174" fontId="212" fillId="0" borderId="0" xfId="0" applyFont="1"/>
    <xf numFmtId="174" fontId="215" fillId="0" borderId="0" xfId="1087" applyFont="1" applyAlignment="1" applyProtection="1">
      <alignment horizontal="left" indent="5"/>
    </xf>
    <xf numFmtId="174" fontId="212" fillId="0" borderId="0" xfId="0" applyFont="1" applyAlignment="1">
      <alignment horizontal="left"/>
    </xf>
    <xf numFmtId="174" fontId="205" fillId="0" borderId="0" xfId="0" applyFont="1" applyAlignment="1">
      <alignment horizontal="left" indent="5"/>
    </xf>
    <xf numFmtId="174" fontId="212" fillId="0" borderId="0" xfId="0" applyFont="1" applyAlignment="1">
      <alignment horizontal="left" indent="5"/>
    </xf>
    <xf numFmtId="174" fontId="215" fillId="0" borderId="0" xfId="1087" applyFont="1" applyAlignment="1" applyProtection="1">
      <alignment horizontal="left" indent="8"/>
    </xf>
    <xf numFmtId="174" fontId="108" fillId="0" borderId="0" xfId="1087" applyFont="1" applyAlignment="1" applyProtection="1"/>
    <xf numFmtId="174" fontId="205" fillId="0" borderId="0" xfId="0" applyFont="1" applyAlignment="1">
      <alignment horizontal="left" indent="8"/>
    </xf>
    <xf numFmtId="174" fontId="215" fillId="25" borderId="0" xfId="1087" applyFont="1" applyFill="1" applyAlignment="1" applyProtection="1">
      <alignment horizontal="left" indent="8"/>
    </xf>
    <xf numFmtId="174" fontId="205" fillId="25" borderId="0" xfId="0" applyFont="1" applyFill="1"/>
    <xf numFmtId="174" fontId="212" fillId="0" borderId="0" xfId="0" applyFont="1" applyAlignment="1">
      <alignment horizontal="left" indent="3"/>
    </xf>
    <xf numFmtId="174" fontId="212" fillId="0" borderId="0" xfId="0" applyFont="1" applyAlignment="1">
      <alignment horizontal="left" wrapText="1" indent="3"/>
    </xf>
    <xf numFmtId="168" fontId="186" fillId="0" borderId="0" xfId="294" applyNumberFormat="1" applyFont="1"/>
    <xf numFmtId="168" fontId="186" fillId="0" borderId="12" xfId="294" applyNumberFormat="1" applyFont="1" applyBorder="1"/>
    <xf numFmtId="171" fontId="186" fillId="0" borderId="12" xfId="521" applyNumberFormat="1" applyFont="1" applyBorder="1"/>
    <xf numFmtId="168" fontId="157" fillId="0" borderId="12" xfId="294" applyNumberFormat="1" applyFont="1" applyBorder="1"/>
    <xf numFmtId="168" fontId="157" fillId="0" borderId="12" xfId="294" applyNumberFormat="1" applyFont="1" applyBorder="1" applyAlignment="1">
      <alignment vertical="center" wrapText="1"/>
    </xf>
    <xf numFmtId="171" fontId="186" fillId="0" borderId="12" xfId="521" applyNumberFormat="1" applyFont="1" applyBorder="1" applyAlignment="1">
      <alignment vertical="center" wrapText="1"/>
    </xf>
    <xf numFmtId="174" fontId="157" fillId="0" borderId="0" xfId="0" applyFont="1" applyAlignment="1">
      <alignment horizontal="justify"/>
    </xf>
    <xf numFmtId="174" fontId="189" fillId="0" borderId="0" xfId="0" applyFont="1"/>
    <xf numFmtId="174" fontId="189" fillId="0" borderId="0" xfId="0" applyFont="1" applyAlignment="1">
      <alignment vertical="center" wrapText="1"/>
    </xf>
    <xf numFmtId="174" fontId="214" fillId="0" borderId="0" xfId="0" applyFont="1" applyAlignment="1">
      <alignment wrapText="1"/>
    </xf>
    <xf numFmtId="0" fontId="31" fillId="0" borderId="0" xfId="1270"/>
    <xf numFmtId="174" fontId="207" fillId="25" borderId="0" xfId="0" applyFont="1" applyFill="1" applyAlignment="1">
      <alignment horizontal="center" vertical="center" wrapText="1"/>
    </xf>
    <xf numFmtId="174" fontId="174" fillId="25" borderId="0" xfId="0" applyFont="1" applyFill="1" applyAlignment="1">
      <alignment horizontal="center" vertical="center"/>
    </xf>
    <xf numFmtId="174" fontId="174" fillId="25" borderId="0" xfId="0" applyFont="1" applyFill="1" applyAlignment="1">
      <alignment horizontal="center" vertical="center" wrapText="1"/>
    </xf>
    <xf numFmtId="49" fontId="218" fillId="25" borderId="0" xfId="0" applyNumberFormat="1" applyFont="1" applyFill="1" applyAlignment="1">
      <alignment horizontal="center" vertical="center"/>
    </xf>
    <xf numFmtId="3" fontId="218" fillId="25" borderId="0" xfId="296" applyNumberFormat="1" applyFont="1" applyFill="1" applyBorder="1" applyAlignment="1">
      <alignment horizontal="right" vertical="center" wrapText="1"/>
    </xf>
    <xf numFmtId="3" fontId="218" fillId="25" borderId="0" xfId="296" applyNumberFormat="1" applyFont="1" applyFill="1" applyBorder="1" applyAlignment="1">
      <alignment horizontal="right"/>
    </xf>
    <xf numFmtId="3" fontId="218" fillId="25" borderId="0" xfId="0" applyNumberFormat="1" applyFont="1" applyFill="1" applyAlignment="1">
      <alignment horizontal="right"/>
    </xf>
    <xf numFmtId="10" fontId="218" fillId="25" borderId="0" xfId="0" applyNumberFormat="1" applyFont="1" applyFill="1" applyAlignment="1">
      <alignment horizontal="right"/>
    </xf>
    <xf numFmtId="17" fontId="213" fillId="0" borderId="0" xfId="0" applyNumberFormat="1" applyFont="1" applyAlignment="1">
      <alignment horizontal="center"/>
    </xf>
    <xf numFmtId="174" fontId="179" fillId="0" borderId="0" xfId="0" applyFont="1" applyAlignment="1">
      <alignment horizontal="justify" vertical="justify" wrapText="1"/>
    </xf>
    <xf numFmtId="174" fontId="219" fillId="0" borderId="0" xfId="0" applyFont="1" applyAlignment="1">
      <alignment horizontal="center" vertical="center"/>
    </xf>
    <xf numFmtId="174" fontId="182" fillId="0" borderId="0" xfId="0" applyFont="1" applyAlignment="1">
      <alignment vertical="center"/>
    </xf>
    <xf numFmtId="174" fontId="177" fillId="0" borderId="0" xfId="0" applyFont="1" applyAlignment="1">
      <alignment horizontal="right"/>
    </xf>
    <xf numFmtId="43" fontId="182" fillId="0" borderId="0" xfId="0" applyNumberFormat="1" applyFont="1" applyAlignment="1">
      <alignment vertical="center"/>
    </xf>
    <xf numFmtId="43" fontId="182" fillId="0" borderId="0" xfId="521" applyNumberFormat="1" applyFont="1" applyAlignment="1">
      <alignment vertical="center"/>
    </xf>
    <xf numFmtId="171" fontId="177" fillId="0" borderId="12" xfId="521" applyNumberFormat="1" applyFont="1" applyBorder="1" applyAlignment="1">
      <alignment horizontal="right"/>
    </xf>
    <xf numFmtId="43" fontId="96" fillId="0" borderId="0" xfId="0" applyNumberFormat="1" applyFont="1" applyAlignment="1">
      <alignment vertical="center"/>
    </xf>
    <xf numFmtId="4" fontId="27" fillId="0" borderId="0" xfId="0" applyNumberFormat="1" applyFont="1" applyAlignment="1">
      <alignment horizontal="right"/>
    </xf>
    <xf numFmtId="171" fontId="96" fillId="0" borderId="0" xfId="521" applyNumberFormat="1" applyFont="1" applyAlignment="1">
      <alignment vertical="center"/>
    </xf>
    <xf numFmtId="4" fontId="177" fillId="0" borderId="0" xfId="0" applyNumberFormat="1" applyFont="1" applyAlignment="1">
      <alignment horizontal="right"/>
    </xf>
    <xf numFmtId="174" fontId="182" fillId="0" borderId="0" xfId="0" applyFont="1" applyAlignment="1">
      <alignment horizontal="right" vertical="center"/>
    </xf>
    <xf numFmtId="174" fontId="149" fillId="0" borderId="0" xfId="0" applyFont="1" applyAlignment="1">
      <alignment horizontal="right" vertical="center" wrapText="1"/>
    </xf>
    <xf numFmtId="174" fontId="177" fillId="0" borderId="0" xfId="0" applyFont="1" applyAlignment="1">
      <alignment horizontal="right" indent="2"/>
    </xf>
    <xf numFmtId="171" fontId="182" fillId="0" borderId="0" xfId="521" applyNumberFormat="1" applyFont="1" applyAlignment="1">
      <alignment vertical="center"/>
    </xf>
    <xf numFmtId="171" fontId="182" fillId="0" borderId="0" xfId="521" applyNumberFormat="1" applyFont="1" applyAlignment="1">
      <alignment horizontal="left" vertical="center"/>
    </xf>
    <xf numFmtId="10" fontId="182" fillId="0" borderId="0" xfId="521" applyNumberFormat="1" applyFont="1" applyAlignment="1">
      <alignment horizontal="left" vertical="center"/>
    </xf>
    <xf numFmtId="10" fontId="182" fillId="0" borderId="0" xfId="521" applyNumberFormat="1" applyFont="1" applyAlignment="1">
      <alignment vertical="center"/>
    </xf>
    <xf numFmtId="174" fontId="221" fillId="0" borderId="0" xfId="0" applyFont="1" applyAlignment="1">
      <alignment horizontal="center" vertical="center"/>
    </xf>
    <xf numFmtId="174" fontId="203" fillId="25" borderId="0" xfId="0" applyFont="1" applyFill="1" applyAlignment="1">
      <alignment horizontal="center" vertical="center" wrapText="1"/>
    </xf>
    <xf numFmtId="174" fontId="189" fillId="25" borderId="12" xfId="0" applyFont="1" applyFill="1" applyBorder="1" applyAlignment="1">
      <alignment horizontal="center" vertical="center"/>
    </xf>
    <xf numFmtId="174" fontId="189" fillId="25" borderId="33" xfId="0" applyFont="1" applyFill="1" applyBorder="1" applyAlignment="1">
      <alignment horizontal="center" vertical="center" wrapText="1"/>
    </xf>
    <xf numFmtId="174" fontId="4" fillId="0" borderId="0" xfId="0" applyFont="1" applyAlignment="1">
      <alignment horizontal="left"/>
    </xf>
    <xf numFmtId="41" fontId="189" fillId="25" borderId="12" xfId="0" applyNumberFormat="1" applyFont="1" applyFill="1" applyBorder="1" applyAlignment="1">
      <alignment horizontal="center" vertical="center" wrapText="1"/>
    </xf>
    <xf numFmtId="174" fontId="191" fillId="0" borderId="0" xfId="0" applyFont="1" applyAlignment="1">
      <alignment horizontal="left"/>
    </xf>
    <xf numFmtId="174" fontId="191"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222" fillId="0" borderId="0" xfId="0" applyFont="1" applyAlignment="1">
      <alignment horizontal="center"/>
    </xf>
    <xf numFmtId="174" fontId="222" fillId="0" borderId="0" xfId="0" applyFont="1"/>
    <xf numFmtId="0" fontId="157" fillId="0" borderId="0" xfId="712" applyFont="1"/>
    <xf numFmtId="40" fontId="157" fillId="0" borderId="0" xfId="712" applyNumberFormat="1" applyFont="1"/>
    <xf numFmtId="41" fontId="157" fillId="0" borderId="0" xfId="712" applyNumberFormat="1" applyFont="1"/>
    <xf numFmtId="41" fontId="177" fillId="0" borderId="0" xfId="712" applyNumberFormat="1" applyFont="1" applyAlignment="1">
      <alignment vertical="center"/>
    </xf>
    <xf numFmtId="0" fontId="177" fillId="0" borderId="0" xfId="712" applyFont="1" applyAlignment="1">
      <alignment vertical="center"/>
    </xf>
    <xf numFmtId="41" fontId="157" fillId="0" borderId="0" xfId="712" applyNumberFormat="1" applyFont="1" applyAlignment="1">
      <alignment vertical="center"/>
    </xf>
    <xf numFmtId="43" fontId="157" fillId="0" borderId="0" xfId="712" applyNumberFormat="1" applyFont="1"/>
    <xf numFmtId="0" fontId="157" fillId="0" borderId="0" xfId="712" applyFont="1" applyAlignment="1">
      <alignment vertical="center"/>
    </xf>
    <xf numFmtId="174" fontId="166" fillId="0" borderId="0" xfId="0" applyFont="1"/>
    <xf numFmtId="174" fontId="224" fillId="0" borderId="0" xfId="0" applyFont="1"/>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222"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3" fillId="0" borderId="0" xfId="0" applyFont="1" applyAlignment="1">
      <alignment vertical="center"/>
    </xf>
    <xf numFmtId="174" fontId="168" fillId="0" borderId="0" xfId="0" applyFont="1" applyAlignment="1">
      <alignment vertical="center" wrapText="1" readingOrder="1"/>
    </xf>
    <xf numFmtId="189" fontId="143" fillId="0" borderId="0" xfId="0" applyNumberFormat="1" applyFont="1"/>
    <xf numFmtId="197" fontId="175" fillId="70" borderId="0" xfId="0" applyNumberFormat="1" applyFont="1" applyFill="1"/>
    <xf numFmtId="174" fontId="175" fillId="70" borderId="0" xfId="0" applyFont="1" applyFill="1"/>
    <xf numFmtId="0" fontId="225" fillId="70" borderId="0" xfId="549" applyFont="1" applyFill="1" applyAlignment="1">
      <alignment vertical="center"/>
    </xf>
    <xf numFmtId="43" fontId="225" fillId="70" borderId="0" xfId="294" applyFont="1" applyFill="1" applyAlignment="1">
      <alignment vertical="center"/>
    </xf>
    <xf numFmtId="174" fontId="31" fillId="0" borderId="50" xfId="421" applyBorder="1"/>
    <xf numFmtId="174" fontId="31" fillId="0" borderId="51" xfId="421" applyBorder="1"/>
    <xf numFmtId="174" fontId="0" fillId="0" borderId="51" xfId="0" applyBorder="1"/>
    <xf numFmtId="174" fontId="31" fillId="0" borderId="52" xfId="421" applyBorder="1"/>
    <xf numFmtId="174" fontId="0" fillId="70" borderId="0" xfId="0" applyFill="1"/>
    <xf numFmtId="174" fontId="157" fillId="70" borderId="0" xfId="0" applyFont="1" applyFill="1"/>
    <xf numFmtId="174" fontId="186" fillId="70" borderId="0" xfId="0" applyFont="1" applyFill="1"/>
    <xf numFmtId="174" fontId="32" fillId="70" borderId="0" xfId="0" applyFont="1" applyFill="1"/>
    <xf numFmtId="174" fontId="31" fillId="70" borderId="0" xfId="413" applyFill="1"/>
    <xf numFmtId="174" fontId="157" fillId="70" borderId="0" xfId="413" applyFont="1" applyFill="1"/>
    <xf numFmtId="0" fontId="31" fillId="70" borderId="0" xfId="549" applyFill="1"/>
    <xf numFmtId="174" fontId="63" fillId="70" borderId="0" xfId="417" applyFont="1" applyFill="1" applyAlignment="1">
      <alignment vertical="center" wrapText="1"/>
    </xf>
    <xf numFmtId="174" fontId="31" fillId="70" borderId="0" xfId="417" applyFill="1"/>
    <xf numFmtId="174" fontId="31" fillId="70" borderId="0" xfId="419" applyFill="1"/>
    <xf numFmtId="174" fontId="31" fillId="70" borderId="0" xfId="603" applyFill="1"/>
    <xf numFmtId="41" fontId="31" fillId="70" borderId="0" xfId="421" applyNumberFormat="1" applyFill="1"/>
    <xf numFmtId="174" fontId="31" fillId="70" borderId="0" xfId="421" applyFill="1"/>
    <xf numFmtId="0" fontId="142" fillId="70" borderId="16" xfId="0" applyNumberFormat="1" applyFont="1" applyFill="1" applyBorder="1" applyAlignment="1">
      <alignment horizontal="center" vertical="center"/>
    </xf>
    <xf numFmtId="174" fontId="143" fillId="70" borderId="0" xfId="0" applyFont="1" applyFill="1" applyAlignment="1">
      <alignment horizontal="center"/>
    </xf>
    <xf numFmtId="0" fontId="63" fillId="70" borderId="16" xfId="0" applyNumberFormat="1" applyFont="1" applyFill="1" applyBorder="1" applyAlignment="1">
      <alignment horizontal="center" vertical="center"/>
    </xf>
    <xf numFmtId="0" fontId="63" fillId="70" borderId="14" xfId="0" applyNumberFormat="1" applyFont="1" applyFill="1" applyBorder="1" applyAlignment="1">
      <alignment horizontal="center" vertical="center"/>
    </xf>
    <xf numFmtId="0" fontId="63" fillId="70" borderId="26" xfId="0" applyNumberFormat="1" applyFont="1" applyFill="1" applyBorder="1" applyAlignment="1">
      <alignment horizontal="center" vertical="center"/>
    </xf>
    <xf numFmtId="179" fontId="63" fillId="70" borderId="25" xfId="0" applyNumberFormat="1" applyFont="1" applyFill="1" applyBorder="1" applyAlignment="1">
      <alignment horizontal="right" vertical="center"/>
    </xf>
    <xf numFmtId="174" fontId="201" fillId="70" borderId="16" xfId="0" applyFont="1" applyFill="1" applyBorder="1" applyAlignment="1">
      <alignment horizontal="center" vertical="center"/>
    </xf>
    <xf numFmtId="49" fontId="201" fillId="70" borderId="13" xfId="0" applyNumberFormat="1" applyFont="1" applyFill="1" applyBorder="1" applyAlignment="1">
      <alignment horizontal="center" vertical="center" wrapText="1"/>
    </xf>
    <xf numFmtId="49" fontId="209" fillId="70" borderId="26" xfId="0" applyNumberFormat="1" applyFont="1" applyFill="1" applyBorder="1" applyAlignment="1">
      <alignment horizontal="center" vertical="center" wrapText="1"/>
    </xf>
    <xf numFmtId="168" fontId="209" fillId="70" borderId="34" xfId="0" applyNumberFormat="1" applyFont="1" applyFill="1" applyBorder="1" applyAlignment="1">
      <alignment horizontal="right" vertical="center" wrapText="1"/>
    </xf>
    <xf numFmtId="174" fontId="209" fillId="70" borderId="16" xfId="0" applyFont="1" applyFill="1" applyBorder="1" applyAlignment="1">
      <alignment horizontal="center" vertical="center"/>
    </xf>
    <xf numFmtId="174" fontId="209" fillId="70" borderId="13" xfId="0" applyFont="1" applyFill="1" applyBorder="1" applyAlignment="1">
      <alignment horizontal="center" vertical="center"/>
    </xf>
    <xf numFmtId="174" fontId="142" fillId="70" borderId="26" xfId="0" applyFont="1" applyFill="1" applyBorder="1" applyAlignment="1">
      <alignment horizontal="center" vertical="center"/>
    </xf>
    <xf numFmtId="168" fontId="142" fillId="70" borderId="34" xfId="294" applyNumberFormat="1" applyFont="1" applyFill="1" applyBorder="1" applyAlignment="1">
      <alignment vertical="center"/>
    </xf>
    <xf numFmtId="174" fontId="177" fillId="70" borderId="0" xfId="0" applyFont="1" applyFill="1"/>
    <xf numFmtId="0" fontId="177" fillId="70" borderId="0" xfId="889" applyFont="1" applyFill="1"/>
    <xf numFmtId="0" fontId="157" fillId="70" borderId="0" xfId="889" applyFont="1" applyFill="1"/>
    <xf numFmtId="0" fontId="213" fillId="70" borderId="11" xfId="889" applyFont="1" applyFill="1" applyBorder="1" applyAlignment="1">
      <alignment horizontal="center" vertical="center"/>
    </xf>
    <xf numFmtId="10" fontId="177" fillId="25" borderId="0" xfId="0" applyNumberFormat="1" applyFont="1" applyFill="1" applyAlignment="1">
      <alignment horizontal="right"/>
    </xf>
    <xf numFmtId="174" fontId="209" fillId="70" borderId="16" xfId="0" applyFont="1" applyFill="1" applyBorder="1" applyAlignment="1">
      <alignment horizontal="center" vertical="center" wrapText="1"/>
    </xf>
    <xf numFmtId="174" fontId="209" fillId="70" borderId="13" xfId="0" applyFont="1" applyFill="1" applyBorder="1" applyAlignment="1">
      <alignment horizontal="center" vertical="center" wrapText="1"/>
    </xf>
    <xf numFmtId="174" fontId="209" fillId="70" borderId="14" xfId="0" applyFont="1" applyFill="1" applyBorder="1" applyAlignment="1">
      <alignment horizontal="center" vertical="center" wrapText="1"/>
    </xf>
    <xf numFmtId="174" fontId="0" fillId="0" borderId="0" xfId="0" applyAlignment="1">
      <alignment vertical="top"/>
    </xf>
    <xf numFmtId="174" fontId="58" fillId="0" borderId="0" xfId="0" applyFont="1" applyAlignment="1">
      <alignment horizontal="center" vertical="top" wrapText="1"/>
    </xf>
    <xf numFmtId="174" fontId="0" fillId="25" borderId="0" xfId="0" applyFill="1" applyAlignment="1">
      <alignment vertical="top"/>
    </xf>
    <xf numFmtId="174" fontId="180" fillId="0" borderId="0" xfId="0" applyFont="1" applyAlignment="1">
      <alignment vertical="center"/>
    </xf>
    <xf numFmtId="174" fontId="148" fillId="70" borderId="26" xfId="0" applyFont="1" applyFill="1" applyBorder="1" applyAlignment="1">
      <alignment horizontal="center" vertical="center"/>
    </xf>
    <xf numFmtId="49" fontId="209" fillId="70" borderId="16" xfId="0" applyNumberFormat="1" applyFont="1" applyFill="1" applyBorder="1" applyAlignment="1">
      <alignment horizontal="center" vertical="center"/>
    </xf>
    <xf numFmtId="174" fontId="188" fillId="70" borderId="0" xfId="0" applyFont="1" applyFill="1" applyAlignment="1">
      <alignment vertical="center" wrapText="1"/>
    </xf>
    <xf numFmtId="174" fontId="148" fillId="70" borderId="16" xfId="359" applyFont="1" applyFill="1" applyBorder="1" applyAlignment="1">
      <alignment horizontal="center" vertical="center"/>
    </xf>
    <xf numFmtId="174" fontId="148" fillId="70" borderId="14" xfId="359" applyFont="1" applyFill="1" applyBorder="1" applyAlignment="1">
      <alignment horizontal="center" vertical="center" wrapText="1"/>
    </xf>
    <xf numFmtId="174" fontId="157" fillId="0" borderId="0" xfId="359" applyFont="1"/>
    <xf numFmtId="174" fontId="228" fillId="0" borderId="0" xfId="0" applyFont="1" applyAlignment="1">
      <alignment horizontal="left" vertical="center" wrapText="1"/>
    </xf>
    <xf numFmtId="49" fontId="96" fillId="0" borderId="26" xfId="359" applyNumberFormat="1" applyFont="1" applyBorder="1" applyAlignment="1">
      <alignment horizontal="center" vertical="center"/>
    </xf>
    <xf numFmtId="1" fontId="50"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50" fillId="25" borderId="23" xfId="417" applyNumberFormat="1" applyFont="1" applyFill="1" applyBorder="1" applyAlignment="1">
      <alignment horizontal="right" vertical="center"/>
    </xf>
    <xf numFmtId="10" fontId="50" fillId="25" borderId="12" xfId="417" applyNumberFormat="1" applyFont="1" applyFill="1" applyBorder="1" applyAlignment="1">
      <alignment horizontal="right" vertical="center"/>
    </xf>
    <xf numFmtId="0" fontId="50" fillId="25" borderId="32" xfId="0" applyNumberFormat="1" applyFont="1" applyFill="1" applyBorder="1" applyAlignment="1">
      <alignment horizontal="center"/>
    </xf>
    <xf numFmtId="0" fontId="50"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93" fillId="70" borderId="16" xfId="359" applyFont="1" applyFill="1" applyBorder="1" applyAlignment="1">
      <alignment horizontal="center" vertical="center"/>
    </xf>
    <xf numFmtId="49" fontId="193" fillId="70" borderId="26" xfId="359" applyNumberFormat="1" applyFont="1" applyFill="1" applyBorder="1" applyAlignment="1">
      <alignment horizontal="center" vertical="center"/>
    </xf>
    <xf numFmtId="174" fontId="193" fillId="70" borderId="14" xfId="359" applyFont="1" applyFill="1" applyBorder="1" applyAlignment="1">
      <alignment horizontal="center" vertical="center" wrapText="1"/>
    </xf>
    <xf numFmtId="49" fontId="229" fillId="0" borderId="32" xfId="359" applyNumberFormat="1" applyFont="1" applyBorder="1" applyAlignment="1">
      <alignment horizontal="center"/>
    </xf>
    <xf numFmtId="4" fontId="230" fillId="0" borderId="23" xfId="294" applyNumberFormat="1" applyFont="1" applyFill="1" applyBorder="1" applyAlignment="1">
      <alignment horizontal="right"/>
    </xf>
    <xf numFmtId="0" fontId="229" fillId="0" borderId="32" xfId="359" applyNumberFormat="1" applyFont="1" applyBorder="1" applyAlignment="1">
      <alignment horizontal="center"/>
    </xf>
    <xf numFmtId="4" fontId="193" fillId="70" borderId="25" xfId="294" applyNumberFormat="1" applyFont="1" applyFill="1" applyBorder="1" applyAlignment="1">
      <alignment horizontal="right" vertical="center"/>
    </xf>
    <xf numFmtId="174" fontId="148" fillId="70" borderId="16" xfId="0" applyFont="1" applyFill="1" applyBorder="1" applyAlignment="1">
      <alignment horizontal="center" vertical="center"/>
    </xf>
    <xf numFmtId="49" fontId="148" fillId="70" borderId="13" xfId="365" applyNumberFormat="1" applyFont="1" applyFill="1" applyBorder="1" applyAlignment="1">
      <alignment horizontal="center" vertical="center"/>
    </xf>
    <xf numFmtId="49" fontId="148" fillId="70" borderId="14" xfId="365" applyNumberFormat="1" applyFont="1" applyFill="1" applyBorder="1" applyAlignment="1">
      <alignment horizontal="center" vertical="center"/>
    </xf>
    <xf numFmtId="40" fontId="96"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6"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60" fillId="0" borderId="32" xfId="0" applyNumberFormat="1" applyFont="1" applyBorder="1" applyAlignment="1">
      <alignment horizontal="center" vertical="center"/>
    </xf>
    <xf numFmtId="43" fontId="61" fillId="0" borderId="12" xfId="0" applyNumberFormat="1" applyFont="1" applyBorder="1" applyAlignment="1">
      <alignment horizontal="center" vertical="center"/>
    </xf>
    <xf numFmtId="10" fontId="60" fillId="0" borderId="12" xfId="0" applyNumberFormat="1" applyFont="1" applyBorder="1" applyAlignment="1">
      <alignment horizontal="center" vertical="center"/>
    </xf>
    <xf numFmtId="43" fontId="61" fillId="0" borderId="12" xfId="294" applyFont="1" applyFill="1" applyBorder="1" applyAlignment="1">
      <alignment horizontal="center" vertical="center"/>
    </xf>
    <xf numFmtId="43" fontId="60" fillId="0" borderId="23" xfId="294" applyFont="1" applyFill="1" applyBorder="1" applyAlignment="1">
      <alignment horizontal="center" vertical="center"/>
    </xf>
    <xf numFmtId="17" fontId="66" fillId="70" borderId="26" xfId="0" applyNumberFormat="1" applyFont="1" applyFill="1" applyBorder="1" applyAlignment="1">
      <alignment horizontal="center" vertical="center"/>
    </xf>
    <xf numFmtId="43" fontId="66" fillId="70" borderId="34" xfId="0" applyNumberFormat="1" applyFont="1" applyFill="1" applyBorder="1" applyAlignment="1">
      <alignment horizontal="center" vertical="center"/>
    </xf>
    <xf numFmtId="10" fontId="66" fillId="70" borderId="34" xfId="0" applyNumberFormat="1" applyFont="1" applyFill="1" applyBorder="1" applyAlignment="1">
      <alignment horizontal="center" vertical="center"/>
    </xf>
    <xf numFmtId="43" fontId="66" fillId="70" borderId="25" xfId="294" applyFont="1" applyFill="1" applyBorder="1" applyAlignment="1">
      <alignment horizontal="center" vertical="center"/>
    </xf>
    <xf numFmtId="43" fontId="66" fillId="60" borderId="16" xfId="0" applyNumberFormat="1" applyFont="1" applyFill="1" applyBorder="1" applyAlignment="1">
      <alignment horizontal="center" vertical="center"/>
    </xf>
    <xf numFmtId="43" fontId="66" fillId="60" borderId="13" xfId="0" applyNumberFormat="1" applyFont="1" applyFill="1" applyBorder="1" applyAlignment="1">
      <alignment horizontal="center" vertical="center" wrapText="1"/>
    </xf>
    <xf numFmtId="43" fontId="66" fillId="60" borderId="13" xfId="294" applyFont="1" applyFill="1" applyBorder="1" applyAlignment="1">
      <alignment horizontal="center" vertical="center" wrapText="1"/>
    </xf>
    <xf numFmtId="43" fontId="66" fillId="60" borderId="14" xfId="294" applyFont="1" applyFill="1" applyBorder="1" applyAlignment="1">
      <alignment horizontal="center" vertical="center" wrapText="1"/>
    </xf>
    <xf numFmtId="0" fontId="142" fillId="70" borderId="13" xfId="0" applyNumberFormat="1" applyFont="1" applyFill="1" applyBorder="1" applyAlignment="1">
      <alignment horizontal="center" vertical="center"/>
    </xf>
    <xf numFmtId="174" fontId="95" fillId="0" borderId="32" xfId="0" applyFont="1" applyBorder="1" applyAlignment="1">
      <alignment vertical="center"/>
    </xf>
    <xf numFmtId="41" fontId="2" fillId="0" borderId="12" xfId="0" applyNumberFormat="1" applyFont="1" applyBorder="1" applyAlignment="1">
      <alignment vertical="center"/>
    </xf>
    <xf numFmtId="41" fontId="95" fillId="0" borderId="34" xfId="0" applyNumberFormat="1" applyFont="1" applyBorder="1" applyAlignment="1">
      <alignment vertical="center"/>
    </xf>
    <xf numFmtId="174" fontId="192" fillId="0" borderId="0" xfId="0" applyFont="1" applyAlignment="1">
      <alignment horizontal="center" vertical="center"/>
    </xf>
    <xf numFmtId="174" fontId="180" fillId="0" borderId="0" xfId="0" applyFont="1" applyAlignment="1">
      <alignment horizontal="left"/>
    </xf>
    <xf numFmtId="174" fontId="192" fillId="0" borderId="0" xfId="0" applyFont="1" applyAlignment="1">
      <alignment vertical="center"/>
    </xf>
    <xf numFmtId="41" fontId="190" fillId="0" borderId="0" xfId="0" applyNumberFormat="1" applyFont="1" applyAlignment="1">
      <alignment vertical="center"/>
    </xf>
    <xf numFmtId="171" fontId="192" fillId="0" borderId="0" xfId="521" applyNumberFormat="1" applyFont="1" applyAlignment="1">
      <alignment vertical="center"/>
    </xf>
    <xf numFmtId="171" fontId="231" fillId="0" borderId="0" xfId="521" applyNumberFormat="1" applyFont="1" applyAlignment="1">
      <alignment vertical="center"/>
    </xf>
    <xf numFmtId="41" fontId="231" fillId="0" borderId="0" xfId="0" applyNumberFormat="1" applyFont="1" applyAlignment="1">
      <alignment vertical="center"/>
    </xf>
    <xf numFmtId="10" fontId="231" fillId="0" borderId="0" xfId="521" applyNumberFormat="1" applyFont="1" applyAlignment="1">
      <alignment vertical="center"/>
    </xf>
    <xf numFmtId="174" fontId="216" fillId="0" borderId="0" xfId="0" applyFont="1" applyAlignment="1">
      <alignment vertical="center"/>
    </xf>
    <xf numFmtId="174" fontId="182" fillId="70" borderId="16" xfId="0" applyFont="1" applyFill="1" applyBorder="1" applyAlignment="1">
      <alignment horizontal="center" vertical="center"/>
    </xf>
    <xf numFmtId="174" fontId="182" fillId="70" borderId="13" xfId="0" applyFont="1" applyFill="1" applyBorder="1" applyAlignment="1">
      <alignment horizontal="center" vertical="center" wrapText="1"/>
    </xf>
    <xf numFmtId="174" fontId="182" fillId="70" borderId="13" xfId="0" applyFont="1" applyFill="1" applyBorder="1" applyAlignment="1">
      <alignment horizontal="center" vertical="center"/>
    </xf>
    <xf numFmtId="174" fontId="182" fillId="70" borderId="14" xfId="0" applyFont="1" applyFill="1" applyBorder="1" applyAlignment="1">
      <alignment horizontal="center" vertical="center" wrapText="1"/>
    </xf>
    <xf numFmtId="0" fontId="182" fillId="0" borderId="32" xfId="0" applyNumberFormat="1" applyFont="1" applyBorder="1" applyAlignment="1">
      <alignment horizontal="center"/>
    </xf>
    <xf numFmtId="49" fontId="182" fillId="0" borderId="32" xfId="0" applyNumberFormat="1" applyFont="1" applyBorder="1" applyAlignment="1">
      <alignment horizontal="center"/>
    </xf>
    <xf numFmtId="49" fontId="96" fillId="0" borderId="32" xfId="0" applyNumberFormat="1" applyFont="1" applyBorder="1" applyAlignment="1">
      <alignment horizontal="center"/>
    </xf>
    <xf numFmtId="0" fontId="96" fillId="0" borderId="32" xfId="0" applyNumberFormat="1" applyFont="1" applyBorder="1" applyAlignment="1">
      <alignment horizontal="center"/>
    </xf>
    <xf numFmtId="171" fontId="148" fillId="70" borderId="34" xfId="0" applyNumberFormat="1" applyFont="1" applyFill="1" applyBorder="1" applyAlignment="1">
      <alignment horizontal="right" vertical="center"/>
    </xf>
    <xf numFmtId="171" fontId="148" fillId="70" borderId="25" xfId="0" applyNumberFormat="1" applyFont="1" applyFill="1" applyBorder="1" applyAlignment="1">
      <alignment horizontal="right" vertical="center"/>
    </xf>
    <xf numFmtId="0" fontId="202" fillId="0" borderId="32" xfId="0" applyNumberFormat="1" applyFont="1" applyBorder="1" applyAlignment="1">
      <alignment horizontal="center"/>
    </xf>
    <xf numFmtId="168" fontId="174" fillId="0" borderId="12" xfId="294" applyNumberFormat="1" applyFont="1" applyFill="1" applyBorder="1"/>
    <xf numFmtId="49" fontId="202" fillId="0" borderId="32" xfId="0" applyNumberFormat="1" applyFont="1" applyBorder="1" applyAlignment="1">
      <alignment horizontal="center"/>
    </xf>
    <xf numFmtId="174" fontId="209" fillId="70" borderId="26" xfId="0" applyFont="1" applyFill="1" applyBorder="1" applyAlignment="1">
      <alignment horizontal="center" vertical="center"/>
    </xf>
    <xf numFmtId="168" fontId="209" fillId="70" borderId="34" xfId="294" applyNumberFormat="1" applyFont="1" applyFill="1" applyBorder="1" applyAlignment="1">
      <alignment vertical="center"/>
    </xf>
    <xf numFmtId="10" fontId="209" fillId="70" borderId="34" xfId="0" applyNumberFormat="1" applyFont="1" applyFill="1" applyBorder="1" applyAlignment="1">
      <alignment vertical="center"/>
    </xf>
    <xf numFmtId="49" fontId="201" fillId="70" borderId="14" xfId="0" applyNumberFormat="1" applyFont="1" applyFill="1" applyBorder="1" applyAlignment="1">
      <alignment horizontal="center" vertical="center" wrapText="1"/>
    </xf>
    <xf numFmtId="49" fontId="201" fillId="0" borderId="32" xfId="0" applyNumberFormat="1" applyFont="1" applyBorder="1" applyAlignment="1">
      <alignment horizontal="center" vertical="center"/>
    </xf>
    <xf numFmtId="168" fontId="194" fillId="0" borderId="12" xfId="294" applyNumberFormat="1" applyFont="1" applyFill="1" applyBorder="1" applyAlignment="1">
      <alignment horizontal="right" vertical="center"/>
    </xf>
    <xf numFmtId="168" fontId="201" fillId="0" borderId="12" xfId="0" applyNumberFormat="1" applyFont="1" applyBorder="1" applyAlignment="1">
      <alignment horizontal="right" vertical="center" wrapText="1"/>
    </xf>
    <xf numFmtId="10" fontId="201" fillId="0" borderId="12" xfId="0" applyNumberFormat="1" applyFont="1" applyBorder="1" applyAlignment="1">
      <alignment horizontal="right" vertical="center"/>
    </xf>
    <xf numFmtId="10" fontId="201" fillId="0" borderId="23" xfId="0" applyNumberFormat="1" applyFont="1" applyBorder="1" applyAlignment="1">
      <alignment horizontal="right" vertical="center"/>
    </xf>
    <xf numFmtId="0" fontId="202" fillId="0" borderId="32" xfId="0" applyNumberFormat="1" applyFont="1" applyBorder="1" applyAlignment="1">
      <alignment horizontal="center" vertical="center"/>
    </xf>
    <xf numFmtId="10" fontId="209" fillId="70" borderId="34" xfId="0" applyNumberFormat="1" applyFont="1" applyFill="1" applyBorder="1" applyAlignment="1">
      <alignment horizontal="right" vertical="center"/>
    </xf>
    <xf numFmtId="10" fontId="209" fillId="70" borderId="25" xfId="0" applyNumberFormat="1" applyFont="1" applyFill="1" applyBorder="1" applyAlignment="1">
      <alignment horizontal="right" vertical="center"/>
    </xf>
    <xf numFmtId="0" fontId="95"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5" fillId="0" borderId="12" xfId="294" applyNumberFormat="1" applyFont="1" applyFill="1" applyBorder="1" applyAlignment="1">
      <alignment vertical="center"/>
    </xf>
    <xf numFmtId="171" fontId="95" fillId="0" borderId="12" xfId="0" applyNumberFormat="1" applyFont="1" applyBorder="1" applyAlignment="1">
      <alignment vertical="center"/>
    </xf>
    <xf numFmtId="171" fontId="95" fillId="0" borderId="23" xfId="0" applyNumberFormat="1" applyFont="1" applyBorder="1" applyAlignment="1">
      <alignment vertical="center"/>
    </xf>
    <xf numFmtId="171" fontId="142" fillId="70" borderId="34" xfId="0" applyNumberFormat="1" applyFont="1" applyFill="1" applyBorder="1" applyAlignment="1">
      <alignment vertical="center"/>
    </xf>
    <xf numFmtId="171" fontId="142" fillId="70" borderId="25" xfId="0" applyNumberFormat="1" applyFont="1" applyFill="1" applyBorder="1" applyAlignment="1">
      <alignment vertical="center"/>
    </xf>
    <xf numFmtId="0" fontId="211" fillId="0" borderId="17" xfId="889" applyFont="1" applyBorder="1" applyAlignment="1">
      <alignment horizontal="left" vertical="center"/>
    </xf>
    <xf numFmtId="0" fontId="188" fillId="70" borderId="26" xfId="889" applyFont="1" applyFill="1" applyBorder="1" applyAlignment="1">
      <alignment horizontal="center" vertical="center"/>
    </xf>
    <xf numFmtId="168" fontId="188" fillId="70" borderId="34" xfId="294" applyNumberFormat="1" applyFont="1" applyFill="1" applyBorder="1" applyAlignment="1">
      <alignment horizontal="center" vertical="center"/>
    </xf>
    <xf numFmtId="174" fontId="37" fillId="70" borderId="12" xfId="0" applyFont="1" applyFill="1" applyBorder="1" applyAlignment="1">
      <alignment horizontal="center" vertical="center" wrapText="1"/>
    </xf>
    <xf numFmtId="174" fontId="37" fillId="70" borderId="24" xfId="0" applyFont="1" applyFill="1" applyBorder="1" applyAlignment="1">
      <alignment horizontal="center" vertical="center"/>
    </xf>
    <xf numFmtId="3" fontId="37" fillId="70" borderId="25" xfId="0" applyNumberFormat="1" applyFont="1" applyFill="1" applyBorder="1" applyAlignment="1">
      <alignment horizontal="center" vertical="center"/>
    </xf>
    <xf numFmtId="3" fontId="37" fillId="70" borderId="24" xfId="0" applyNumberFormat="1" applyFont="1" applyFill="1" applyBorder="1" applyAlignment="1">
      <alignment horizontal="center" vertical="center"/>
    </xf>
    <xf numFmtId="3" fontId="37" fillId="70" borderId="24" xfId="0" applyNumberFormat="1" applyFont="1" applyFill="1" applyBorder="1" applyAlignment="1">
      <alignment horizontal="right" vertical="center"/>
    </xf>
    <xf numFmtId="3" fontId="37" fillId="70" borderId="34" xfId="0" applyNumberFormat="1" applyFont="1" applyFill="1" applyBorder="1" applyAlignment="1">
      <alignment horizontal="center" vertical="center"/>
    </xf>
    <xf numFmtId="171" fontId="37" fillId="70" borderId="24" xfId="521" applyNumberFormat="1" applyFont="1" applyFill="1" applyBorder="1" applyAlignment="1">
      <alignment horizontal="center" vertical="center"/>
    </xf>
    <xf numFmtId="41" fontId="37" fillId="70" borderId="12" xfId="0" applyNumberFormat="1" applyFont="1" applyFill="1" applyBorder="1" applyAlignment="1">
      <alignment horizontal="center" vertical="center" wrapText="1"/>
    </xf>
    <xf numFmtId="49" fontId="53" fillId="0" borderId="12" xfId="0" applyNumberFormat="1" applyFont="1" applyBorder="1" applyAlignment="1">
      <alignment horizontal="center" vertical="center"/>
    </xf>
    <xf numFmtId="3" fontId="232" fillId="0" borderId="12" xfId="294" applyNumberFormat="1" applyFont="1" applyFill="1" applyBorder="1" applyAlignment="1">
      <alignment horizontal="center" vertical="center"/>
    </xf>
    <xf numFmtId="41" fontId="232" fillId="0" borderId="12" xfId="294" applyNumberFormat="1" applyFont="1" applyFill="1" applyBorder="1" applyAlignment="1">
      <alignment horizontal="center" vertical="center"/>
    </xf>
    <xf numFmtId="3" fontId="53" fillId="0" borderId="12" xfId="294" applyNumberFormat="1" applyFont="1" applyFill="1" applyBorder="1" applyAlignment="1">
      <alignment horizontal="center" vertical="center"/>
    </xf>
    <xf numFmtId="171" fontId="232" fillId="0" borderId="12" xfId="0" applyNumberFormat="1" applyFont="1" applyBorder="1" applyAlignment="1">
      <alignment horizontal="center" vertical="center"/>
    </xf>
    <xf numFmtId="0" fontId="53" fillId="0" borderId="12" xfId="0" applyNumberFormat="1" applyFont="1" applyBorder="1" applyAlignment="1">
      <alignment horizontal="center" vertical="center"/>
    </xf>
    <xf numFmtId="43" fontId="63" fillId="70" borderId="13" xfId="0" applyNumberFormat="1" applyFont="1" applyFill="1" applyBorder="1" applyAlignment="1">
      <alignment horizontal="center" vertical="center"/>
    </xf>
    <xf numFmtId="174" fontId="62" fillId="0" borderId="32" xfId="0" applyFont="1" applyBorder="1" applyAlignment="1">
      <alignment vertical="center"/>
    </xf>
    <xf numFmtId="43" fontId="45" fillId="0" borderId="12" xfId="0" applyNumberFormat="1" applyFont="1" applyBorder="1" applyAlignment="1">
      <alignment horizontal="right" vertical="center"/>
    </xf>
    <xf numFmtId="179" fontId="62" fillId="0" borderId="23" xfId="0" applyNumberFormat="1" applyFont="1" applyBorder="1" applyAlignment="1">
      <alignment horizontal="right" vertical="center"/>
    </xf>
    <xf numFmtId="179" fontId="63" fillId="70" borderId="34" xfId="0" applyNumberFormat="1" applyFont="1" applyFill="1" applyBorder="1" applyAlignment="1">
      <alignment horizontal="right" vertical="center"/>
    </xf>
    <xf numFmtId="10" fontId="232" fillId="0" borderId="12" xfId="421" applyNumberFormat="1" applyFont="1" applyBorder="1" applyAlignment="1">
      <alignment horizontal="center" vertical="center"/>
    </xf>
    <xf numFmtId="17" fontId="53" fillId="0" borderId="32" xfId="421" applyNumberFormat="1" applyFont="1" applyBorder="1" applyAlignment="1">
      <alignment horizontal="center" vertical="center"/>
    </xf>
    <xf numFmtId="10" fontId="232" fillId="0" borderId="23" xfId="421" applyNumberFormat="1" applyFont="1" applyBorder="1" applyAlignment="1">
      <alignment horizontal="center" vertical="center"/>
    </xf>
    <xf numFmtId="17" fontId="53" fillId="0" borderId="26" xfId="421" applyNumberFormat="1" applyFont="1" applyBorder="1" applyAlignment="1">
      <alignment horizontal="center" vertical="center"/>
    </xf>
    <xf numFmtId="10" fontId="232" fillId="0" borderId="34" xfId="421" applyNumberFormat="1" applyFont="1" applyBorder="1" applyAlignment="1">
      <alignment horizontal="center" vertical="center"/>
    </xf>
    <xf numFmtId="10" fontId="232" fillId="0" borderId="25" xfId="421" applyNumberFormat="1" applyFont="1" applyBorder="1" applyAlignment="1">
      <alignment horizontal="center" vertical="center"/>
    </xf>
    <xf numFmtId="49" fontId="96" fillId="0" borderId="32" xfId="359" applyNumberFormat="1" applyFont="1" applyBorder="1" applyAlignment="1">
      <alignment horizontal="center" vertical="center"/>
    </xf>
    <xf numFmtId="0" fontId="96" fillId="0" borderId="32" xfId="359" applyNumberFormat="1" applyFont="1" applyBorder="1" applyAlignment="1">
      <alignment horizontal="center" vertical="center"/>
    </xf>
    <xf numFmtId="43" fontId="188" fillId="70" borderId="11" xfId="307" applyFont="1" applyFill="1" applyBorder="1" applyAlignment="1">
      <alignment horizontal="center" vertical="center"/>
    </xf>
    <xf numFmtId="43" fontId="188" fillId="70" borderId="14" xfId="307" applyFont="1" applyFill="1" applyBorder="1" applyAlignment="1">
      <alignment horizontal="center" vertical="center"/>
    </xf>
    <xf numFmtId="174" fontId="233" fillId="0" borderId="0" xfId="413" applyFont="1"/>
    <xf numFmtId="43" fontId="211" fillId="0" borderId="0" xfId="307" applyFont="1" applyFill="1" applyBorder="1" applyAlignment="1">
      <alignment horizontal="left" vertical="center"/>
    </xf>
    <xf numFmtId="10" fontId="211" fillId="0" borderId="31" xfId="362" applyNumberFormat="1" applyFont="1" applyBorder="1" applyAlignment="1">
      <alignment horizontal="center" vertical="center"/>
    </xf>
    <xf numFmtId="174" fontId="179" fillId="0" borderId="0" xfId="413" applyFont="1"/>
    <xf numFmtId="43" fontId="211" fillId="0" borderId="26" xfId="307" applyFont="1" applyFill="1" applyBorder="1" applyAlignment="1">
      <alignment horizontal="left" vertical="center"/>
    </xf>
    <xf numFmtId="43" fontId="211" fillId="0" borderId="25" xfId="362" applyNumberFormat="1" applyFont="1" applyBorder="1" applyAlignment="1">
      <alignment horizontal="center" vertical="center"/>
    </xf>
    <xf numFmtId="10" fontId="211" fillId="0" borderId="25" xfId="362" applyNumberFormat="1" applyFont="1" applyBorder="1" applyAlignment="1">
      <alignment horizontal="center" vertical="center"/>
    </xf>
    <xf numFmtId="43" fontId="179" fillId="0" borderId="0" xfId="413" applyNumberFormat="1" applyFont="1"/>
    <xf numFmtId="174" fontId="177" fillId="0" borderId="0" xfId="0" applyFont="1" applyAlignment="1">
      <alignment vertical="top" wrapText="1"/>
    </xf>
    <xf numFmtId="174" fontId="177" fillId="0" borderId="0" xfId="0" applyFont="1" applyAlignment="1">
      <alignment vertical="top"/>
    </xf>
    <xf numFmtId="174" fontId="188" fillId="70" borderId="13" xfId="0" applyFont="1" applyFill="1" applyBorder="1" applyAlignment="1">
      <alignment horizontal="center" vertical="center" wrapText="1"/>
    </xf>
    <xf numFmtId="49" fontId="211" fillId="0" borderId="32" xfId="0" applyNumberFormat="1" applyFont="1" applyBorder="1" applyAlignment="1">
      <alignment horizontal="center" vertical="center"/>
    </xf>
    <xf numFmtId="174" fontId="59" fillId="0" borderId="0" xfId="0" applyFont="1" applyAlignment="1">
      <alignment vertical="center"/>
    </xf>
    <xf numFmtId="174" fontId="59" fillId="0" borderId="0" xfId="0" applyFont="1"/>
    <xf numFmtId="174" fontId="148" fillId="60" borderId="16" xfId="0" applyFont="1" applyFill="1" applyBorder="1" applyAlignment="1">
      <alignment horizontal="center" vertical="center" wrapText="1"/>
    </xf>
    <xf numFmtId="174" fontId="148" fillId="60" borderId="13" xfId="0" applyFont="1" applyFill="1" applyBorder="1" applyAlignment="1">
      <alignment horizontal="center" vertical="center" wrapText="1"/>
    </xf>
    <xf numFmtId="174" fontId="148" fillId="60" borderId="14" xfId="0" applyFont="1" applyFill="1" applyBorder="1" applyAlignment="1">
      <alignment horizontal="center" vertical="center" wrapText="1"/>
    </xf>
    <xf numFmtId="3" fontId="96" fillId="0" borderId="32" xfId="0" applyNumberFormat="1" applyFont="1" applyBorder="1"/>
    <xf numFmtId="3" fontId="27" fillId="0" borderId="12" xfId="0" applyNumberFormat="1" applyFont="1" applyBorder="1" applyAlignment="1">
      <alignment horizontal="center"/>
    </xf>
    <xf numFmtId="171" fontId="96" fillId="0" borderId="12" xfId="521" applyNumberFormat="1" applyFont="1" applyFill="1" applyBorder="1" applyAlignment="1" applyProtection="1">
      <alignment horizontal="center"/>
    </xf>
    <xf numFmtId="171" fontId="96" fillId="0" borderId="23" xfId="521" applyNumberFormat="1" applyFont="1" applyFill="1" applyBorder="1" applyAlignment="1" applyProtection="1">
      <alignment horizontal="center"/>
    </xf>
    <xf numFmtId="171" fontId="96" fillId="25" borderId="12" xfId="521" applyNumberFormat="1" applyFont="1" applyFill="1" applyBorder="1" applyAlignment="1" applyProtection="1">
      <alignment horizontal="center"/>
    </xf>
    <xf numFmtId="171" fontId="96" fillId="25" borderId="23" xfId="521" applyNumberFormat="1" applyFont="1" applyFill="1" applyBorder="1" applyAlignment="1" applyProtection="1">
      <alignment horizontal="center"/>
    </xf>
    <xf numFmtId="3" fontId="96" fillId="0" borderId="26" xfId="0" applyNumberFormat="1" applyFont="1" applyBorder="1" applyAlignment="1">
      <alignment vertical="center"/>
    </xf>
    <xf numFmtId="3" fontId="96" fillId="25" borderId="34" xfId="0" applyNumberFormat="1" applyFont="1" applyFill="1" applyBorder="1" applyAlignment="1">
      <alignment horizontal="center" vertical="center"/>
    </xf>
    <xf numFmtId="171" fontId="96" fillId="25" borderId="34" xfId="521" applyNumberFormat="1" applyFont="1" applyFill="1" applyBorder="1" applyAlignment="1" applyProtection="1">
      <alignment horizontal="center" vertical="center"/>
    </xf>
    <xf numFmtId="171" fontId="96" fillId="25" borderId="25" xfId="521" applyNumberFormat="1" applyFont="1" applyFill="1" applyBorder="1" applyAlignment="1" applyProtection="1">
      <alignment horizontal="center" vertical="center"/>
    </xf>
    <xf numFmtId="0" fontId="128" fillId="27" borderId="38" xfId="1203" applyFont="1" applyFill="1" applyBorder="1" applyAlignment="1">
      <alignment horizontal="left" vertical="center" wrapText="1" indent="2"/>
    </xf>
    <xf numFmtId="0" fontId="128" fillId="27" borderId="40" xfId="1203" applyFont="1" applyFill="1" applyBorder="1" applyAlignment="1">
      <alignment horizontal="left" vertical="center" wrapText="1" indent="2"/>
    </xf>
    <xf numFmtId="0" fontId="130" fillId="27" borderId="40" xfId="1203" applyFont="1" applyFill="1" applyBorder="1" applyAlignment="1">
      <alignment horizontal="left" vertical="center" wrapText="1" indent="2"/>
    </xf>
    <xf numFmtId="0" fontId="46" fillId="0" borderId="0" xfId="549" applyFont="1" applyAlignment="1">
      <alignment horizontal="center" vertical="center"/>
    </xf>
    <xf numFmtId="190" fontId="0" fillId="25" borderId="12" xfId="294" applyNumberFormat="1" applyFont="1" applyFill="1" applyBorder="1" applyAlignment="1">
      <alignment horizontal="center"/>
    </xf>
    <xf numFmtId="178" fontId="31" fillId="25" borderId="0" xfId="413" applyNumberFormat="1" applyFill="1" applyAlignment="1">
      <alignment vertical="center"/>
    </xf>
    <xf numFmtId="174" fontId="228" fillId="0" borderId="0" xfId="0" applyFont="1"/>
    <xf numFmtId="174" fontId="244" fillId="0" borderId="0" xfId="0" applyFont="1"/>
    <xf numFmtId="49" fontId="184" fillId="0" borderId="32" xfId="0" applyNumberFormat="1" applyFont="1" applyBorder="1" applyAlignment="1">
      <alignment horizontal="center" vertical="center"/>
    </xf>
    <xf numFmtId="38" fontId="187" fillId="0" borderId="12" xfId="0" applyNumberFormat="1" applyFont="1" applyBorder="1" applyAlignment="1">
      <alignment horizontal="center" vertical="center"/>
    </xf>
    <xf numFmtId="171" fontId="184" fillId="0" borderId="12" xfId="0" applyNumberFormat="1" applyFont="1" applyBorder="1" applyAlignment="1">
      <alignment horizontal="center" vertical="center"/>
    </xf>
    <xf numFmtId="174" fontId="183" fillId="70" borderId="13" xfId="0" applyFont="1" applyFill="1" applyBorder="1" applyAlignment="1">
      <alignment horizontal="center" vertical="center" wrapText="1"/>
    </xf>
    <xf numFmtId="49" fontId="184" fillId="0" borderId="32" xfId="0" applyNumberFormat="1" applyFont="1" applyBorder="1" applyAlignment="1">
      <alignment horizontal="center" vertical="center" wrapText="1"/>
    </xf>
    <xf numFmtId="3" fontId="187" fillId="0" borderId="12" xfId="299" applyNumberFormat="1" applyFont="1" applyFill="1" applyBorder="1" applyAlignment="1">
      <alignment horizontal="center" vertical="center" wrapText="1"/>
    </xf>
    <xf numFmtId="3" fontId="184" fillId="0" borderId="12" xfId="299" applyNumberFormat="1" applyFont="1" applyFill="1" applyBorder="1" applyAlignment="1">
      <alignment horizontal="center" vertical="center" wrapText="1"/>
    </xf>
    <xf numFmtId="3" fontId="187" fillId="0" borderId="34" xfId="299" applyNumberFormat="1" applyFont="1" applyFill="1" applyBorder="1" applyAlignment="1">
      <alignment horizontal="center" vertical="center" wrapText="1"/>
    </xf>
    <xf numFmtId="174" fontId="51" fillId="0" borderId="0" xfId="0" applyFont="1" applyAlignment="1">
      <alignment horizontal="center"/>
    </xf>
    <xf numFmtId="43" fontId="209" fillId="70" borderId="16" xfId="365" applyNumberFormat="1" applyFont="1" applyFill="1" applyBorder="1" applyAlignment="1">
      <alignment horizontal="center" vertical="center"/>
    </xf>
    <xf numFmtId="43" fontId="209" fillId="70"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202" fillId="0" borderId="32" xfId="365" applyNumberFormat="1" applyFont="1" applyBorder="1" applyAlignment="1">
      <alignment horizontal="center" vertical="top"/>
    </xf>
    <xf numFmtId="168" fontId="174" fillId="0" borderId="12" xfId="365" applyNumberFormat="1" applyFont="1" applyBorder="1" applyAlignment="1">
      <alignment horizontal="right" vertical="top"/>
    </xf>
    <xf numFmtId="168" fontId="174"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50"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202" fillId="0" borderId="32" xfId="365" applyNumberFormat="1" applyFont="1" applyBorder="1" applyAlignment="1">
      <alignment horizontal="center" vertical="top"/>
    </xf>
    <xf numFmtId="168" fontId="174" fillId="25" borderId="34" xfId="365" applyNumberFormat="1" applyFont="1" applyFill="1" applyBorder="1" applyAlignment="1">
      <alignment horizontal="right" vertical="top"/>
    </xf>
    <xf numFmtId="168" fontId="202"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47" fillId="0" borderId="0" xfId="0" applyFont="1" applyAlignment="1">
      <alignment horizontal="center"/>
    </xf>
    <xf numFmtId="174" fontId="78" fillId="0" borderId="0" xfId="0" applyFont="1"/>
    <xf numFmtId="17" fontId="229" fillId="0" borderId="32" xfId="0" applyNumberFormat="1" applyFont="1" applyBorder="1" applyAlignment="1">
      <alignment horizontal="center" vertical="center"/>
    </xf>
    <xf numFmtId="3" fontId="229" fillId="0" borderId="12" xfId="299" applyNumberFormat="1" applyFont="1" applyFill="1" applyBorder="1" applyAlignment="1">
      <alignment horizontal="center" vertical="center"/>
    </xf>
    <xf numFmtId="3" fontId="230" fillId="0" borderId="12" xfId="299" applyNumberFormat="1" applyFont="1" applyFill="1" applyBorder="1" applyAlignment="1">
      <alignment horizontal="center" vertical="center"/>
    </xf>
    <xf numFmtId="3" fontId="229" fillId="0" borderId="23" xfId="299" applyNumberFormat="1" applyFont="1" applyFill="1" applyBorder="1" applyAlignment="1">
      <alignment horizontal="center" vertical="center"/>
    </xf>
    <xf numFmtId="49" fontId="229" fillId="0" borderId="32" xfId="0" applyNumberFormat="1" applyFont="1" applyBorder="1" applyAlignment="1">
      <alignment horizontal="center" vertical="center"/>
    </xf>
    <xf numFmtId="3" fontId="230" fillId="0" borderId="34" xfId="299" applyNumberFormat="1" applyFont="1" applyFill="1" applyBorder="1" applyAlignment="1">
      <alignment horizontal="center" vertical="center"/>
    </xf>
    <xf numFmtId="174" fontId="193" fillId="60" borderId="13" xfId="0" applyFont="1" applyFill="1" applyBorder="1" applyAlignment="1">
      <alignment horizontal="center" vertical="center" wrapText="1"/>
    </xf>
    <xf numFmtId="174" fontId="193" fillId="60" borderId="14" xfId="0" applyFont="1" applyFill="1" applyBorder="1" applyAlignment="1">
      <alignment horizontal="center" vertical="center" wrapText="1"/>
    </xf>
    <xf numFmtId="17" fontId="193" fillId="60" borderId="16" xfId="0" applyNumberFormat="1" applyFont="1" applyFill="1" applyBorder="1" applyAlignment="1">
      <alignment horizontal="center" vertical="center" wrapText="1"/>
    </xf>
    <xf numFmtId="174" fontId="193" fillId="60" borderId="14" xfId="0" applyFont="1" applyFill="1" applyBorder="1" applyAlignment="1">
      <alignment horizontal="center" vertical="center"/>
    </xf>
    <xf numFmtId="168" fontId="183" fillId="70" borderId="16" xfId="294" applyNumberFormat="1" applyFont="1" applyFill="1" applyBorder="1" applyAlignment="1">
      <alignment horizontal="center" vertical="center" wrapText="1"/>
    </xf>
    <xf numFmtId="168" fontId="183" fillId="70" borderId="13" xfId="294" applyNumberFormat="1" applyFont="1" applyFill="1" applyBorder="1" applyAlignment="1">
      <alignment horizontal="center" vertical="center" wrapText="1"/>
    </xf>
    <xf numFmtId="168" fontId="183" fillId="70" borderId="14" xfId="294" applyNumberFormat="1" applyFont="1" applyFill="1" applyBorder="1" applyAlignment="1">
      <alignment horizontal="center" vertical="center" wrapText="1"/>
    </xf>
    <xf numFmtId="0" fontId="184" fillId="0" borderId="32" xfId="359" applyNumberFormat="1" applyFont="1" applyBorder="1" applyAlignment="1">
      <alignment horizontal="center" vertical="center"/>
    </xf>
    <xf numFmtId="3" fontId="187" fillId="0" borderId="12" xfId="296" applyNumberFormat="1" applyFont="1" applyFill="1" applyBorder="1" applyAlignment="1">
      <alignment horizontal="center" vertical="center"/>
    </xf>
    <xf numFmtId="3" fontId="187" fillId="0" borderId="34" xfId="296" applyNumberFormat="1" applyFont="1" applyFill="1" applyBorder="1" applyAlignment="1">
      <alignment horizontal="center" vertical="center"/>
    </xf>
    <xf numFmtId="168" fontId="42" fillId="70"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3" fillId="0" borderId="12" xfId="0" applyNumberFormat="1" applyFont="1" applyBorder="1" applyAlignment="1">
      <alignment horizontal="right" vertical="center"/>
    </xf>
    <xf numFmtId="171" fontId="73"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70" borderId="16" xfId="332" applyNumberFormat="1" applyFont="1" applyFill="1" applyBorder="1" applyAlignment="1">
      <alignment horizontal="center" vertical="center" wrapText="1"/>
    </xf>
    <xf numFmtId="168" fontId="42" fillId="70" borderId="13" xfId="0" applyNumberFormat="1" applyFont="1" applyFill="1" applyBorder="1" applyAlignment="1">
      <alignment horizontal="center" vertical="center" wrapText="1"/>
    </xf>
    <xf numFmtId="168" fontId="42" fillId="70"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33" fillId="70" borderId="16" xfId="0" applyFont="1" applyFill="1" applyBorder="1" applyAlignment="1">
      <alignment horizontal="center" vertical="center"/>
    </xf>
    <xf numFmtId="174" fontId="193" fillId="70" borderId="12" xfId="0" applyFont="1" applyFill="1" applyBorder="1" applyAlignment="1">
      <alignment horizontal="center" vertical="center"/>
    </xf>
    <xf numFmtId="49" fontId="248" fillId="0" borderId="12" xfId="0" applyNumberFormat="1" applyFont="1" applyBorder="1" applyAlignment="1">
      <alignment horizontal="center"/>
    </xf>
    <xf numFmtId="168" fontId="248" fillId="0" borderId="12" xfId="294" applyNumberFormat="1" applyFont="1" applyFill="1" applyBorder="1" applyAlignment="1">
      <alignment horizontal="center" vertical="center"/>
    </xf>
    <xf numFmtId="49" fontId="211" fillId="0" borderId="32" xfId="0" applyNumberFormat="1" applyFont="1" applyBorder="1" applyAlignment="1">
      <alignment horizontal="center" vertical="top"/>
    </xf>
    <xf numFmtId="0" fontId="211" fillId="0" borderId="32" xfId="0" applyNumberFormat="1" applyFont="1" applyBorder="1" applyAlignment="1">
      <alignment horizontal="center" vertical="top"/>
    </xf>
    <xf numFmtId="49" fontId="202" fillId="0" borderId="32" xfId="0" applyNumberFormat="1" applyFont="1" applyBorder="1" applyAlignment="1">
      <alignment horizontal="center" vertical="top"/>
    </xf>
    <xf numFmtId="168" fontId="174" fillId="0" borderId="12" xfId="294" applyNumberFormat="1" applyFont="1" applyFill="1" applyBorder="1" applyAlignment="1">
      <alignment horizontal="right" vertical="top"/>
    </xf>
    <xf numFmtId="168" fontId="202" fillId="0" borderId="12" xfId="0" applyNumberFormat="1" applyFont="1" applyBorder="1" applyAlignment="1">
      <alignment horizontal="center" vertical="top"/>
    </xf>
    <xf numFmtId="1" fontId="174" fillId="0" borderId="12" xfId="294" applyNumberFormat="1" applyFont="1" applyFill="1" applyBorder="1" applyAlignment="1">
      <alignment horizontal="right" vertical="top"/>
    </xf>
    <xf numFmtId="168" fontId="202" fillId="0" borderId="12" xfId="294" applyNumberFormat="1" applyFont="1" applyFill="1" applyBorder="1" applyAlignment="1">
      <alignment horizontal="right" vertical="top"/>
    </xf>
    <xf numFmtId="41" fontId="202" fillId="0" borderId="23" xfId="0" applyNumberFormat="1" applyFont="1" applyBorder="1" applyAlignment="1">
      <alignment horizontal="center" vertical="top"/>
    </xf>
    <xf numFmtId="49" fontId="209" fillId="70" borderId="13" xfId="0" applyNumberFormat="1" applyFont="1" applyFill="1" applyBorder="1" applyAlignment="1">
      <alignment horizontal="center" vertical="center"/>
    </xf>
    <xf numFmtId="38" fontId="207" fillId="70" borderId="12" xfId="0" applyNumberFormat="1" applyFont="1" applyFill="1" applyBorder="1" applyAlignment="1">
      <alignment horizontal="center" vertical="center"/>
    </xf>
    <xf numFmtId="38" fontId="207" fillId="70" borderId="12" xfId="0" applyNumberFormat="1" applyFont="1" applyFill="1" applyBorder="1" applyAlignment="1">
      <alignment horizontal="center" vertical="center" wrapText="1"/>
    </xf>
    <xf numFmtId="196" fontId="250" fillId="0" borderId="0" xfId="0" applyNumberFormat="1" applyFont="1"/>
    <xf numFmtId="174" fontId="250" fillId="0" borderId="0" xfId="0" applyFont="1"/>
    <xf numFmtId="3" fontId="251" fillId="25" borderId="0" xfId="0" applyNumberFormat="1" applyFont="1" applyFill="1" applyAlignment="1">
      <alignment horizontal="center"/>
    </xf>
    <xf numFmtId="174" fontId="250" fillId="25" borderId="0" xfId="0" applyFont="1" applyFill="1"/>
    <xf numFmtId="49" fontId="190" fillId="0" borderId="12" xfId="0" applyNumberFormat="1" applyFont="1" applyBorder="1" applyAlignment="1">
      <alignment horizontal="center" vertical="center"/>
    </xf>
    <xf numFmtId="38" fontId="210" fillId="0" borderId="12" xfId="294" applyNumberFormat="1" applyFont="1" applyFill="1" applyBorder="1" applyAlignment="1">
      <alignment horizontal="center" vertical="center"/>
    </xf>
    <xf numFmtId="38" fontId="190" fillId="0" borderId="12" xfId="0" applyNumberFormat="1" applyFont="1" applyBorder="1" applyAlignment="1">
      <alignment horizontal="center" wrapText="1"/>
    </xf>
    <xf numFmtId="38" fontId="210" fillId="25" borderId="12" xfId="294" applyNumberFormat="1" applyFont="1" applyFill="1" applyBorder="1" applyAlignment="1">
      <alignment horizontal="center"/>
    </xf>
    <xf numFmtId="196" fontId="55" fillId="0" borderId="0" xfId="0" applyNumberFormat="1" applyFont="1"/>
    <xf numFmtId="3" fontId="252" fillId="25" borderId="0" xfId="0" applyNumberFormat="1" applyFont="1" applyFill="1" applyAlignment="1">
      <alignment horizontal="center"/>
    </xf>
    <xf numFmtId="174" fontId="55" fillId="25" borderId="0" xfId="0" applyFont="1" applyFill="1"/>
    <xf numFmtId="3" fontId="252" fillId="0" borderId="0" xfId="0" applyNumberFormat="1" applyFont="1" applyAlignment="1">
      <alignment horizontal="center" vertical="center"/>
    </xf>
    <xf numFmtId="3" fontId="252" fillId="0" borderId="0" xfId="0" applyNumberFormat="1" applyFont="1" applyAlignment="1">
      <alignment horizontal="center"/>
    </xf>
    <xf numFmtId="38" fontId="190" fillId="0" borderId="12" xfId="294" applyNumberFormat="1" applyFont="1" applyFill="1" applyBorder="1" applyAlignment="1">
      <alignment horizontal="center" vertical="center"/>
    </xf>
    <xf numFmtId="14" fontId="183" fillId="70" borderId="16" xfId="0" applyNumberFormat="1" applyFont="1" applyFill="1" applyBorder="1" applyAlignment="1">
      <alignment horizontal="center" vertical="center" wrapText="1"/>
    </xf>
    <xf numFmtId="174" fontId="183" fillId="70" borderId="13" xfId="0" applyFont="1" applyFill="1" applyBorder="1" applyAlignment="1">
      <alignment horizontal="center" vertical="center"/>
    </xf>
    <xf numFmtId="171" fontId="184" fillId="0" borderId="12" xfId="0" applyNumberFormat="1" applyFont="1" applyBorder="1" applyAlignment="1">
      <alignment vertical="center"/>
    </xf>
    <xf numFmtId="49" fontId="184" fillId="0" borderId="26" xfId="0" applyNumberFormat="1" applyFont="1" applyBorder="1" applyAlignment="1">
      <alignment horizontal="center" vertical="center"/>
    </xf>
    <xf numFmtId="171" fontId="184" fillId="0" borderId="34" xfId="0" applyNumberFormat="1" applyFont="1" applyBorder="1" applyAlignment="1">
      <alignment vertical="center"/>
    </xf>
    <xf numFmtId="49" fontId="188" fillId="70" borderId="16" xfId="0" applyNumberFormat="1" applyFont="1" applyFill="1" applyBorder="1" applyAlignment="1">
      <alignment horizontal="center" vertical="center"/>
    </xf>
    <xf numFmtId="168" fontId="191" fillId="25" borderId="12" xfId="294" applyNumberFormat="1" applyFont="1" applyFill="1" applyBorder="1" applyAlignment="1">
      <alignment horizontal="center" vertical="center"/>
    </xf>
    <xf numFmtId="173" fontId="191" fillId="25" borderId="12" xfId="294" applyNumberFormat="1" applyFont="1" applyFill="1" applyBorder="1" applyAlignment="1">
      <alignment horizontal="center" vertical="center"/>
    </xf>
    <xf numFmtId="49" fontId="211" fillId="25" borderId="32" xfId="0" applyNumberFormat="1" applyFont="1" applyFill="1" applyBorder="1" applyAlignment="1">
      <alignment horizontal="center" vertical="center"/>
    </xf>
    <xf numFmtId="174" fontId="188" fillId="70" borderId="26" xfId="0" applyFont="1" applyFill="1" applyBorder="1" applyAlignment="1">
      <alignment horizontal="center" vertical="center"/>
    </xf>
    <xf numFmtId="174" fontId="210" fillId="0" borderId="0" xfId="0" applyFont="1" applyAlignment="1">
      <alignment vertical="center" wrapText="1"/>
    </xf>
    <xf numFmtId="0" fontId="190" fillId="0" borderId="32" xfId="294" applyNumberFormat="1" applyFont="1" applyFill="1" applyBorder="1" applyAlignment="1">
      <alignment horizontal="center" vertical="center"/>
    </xf>
    <xf numFmtId="40" fontId="210" fillId="0" borderId="12" xfId="294" applyNumberFormat="1" applyFont="1" applyFill="1" applyBorder="1" applyAlignment="1">
      <alignment vertical="center"/>
    </xf>
    <xf numFmtId="0" fontId="205" fillId="0" borderId="0" xfId="712" applyFont="1"/>
    <xf numFmtId="49" fontId="209" fillId="70" borderId="13" xfId="0" applyNumberFormat="1" applyFont="1" applyFill="1" applyBorder="1" applyAlignment="1">
      <alignment horizontal="center" vertical="center" wrapText="1"/>
    </xf>
    <xf numFmtId="0" fontId="209" fillId="70" borderId="13" xfId="0" applyNumberFormat="1" applyFont="1" applyFill="1" applyBorder="1" applyAlignment="1">
      <alignment horizontal="center" vertical="center" wrapText="1"/>
    </xf>
    <xf numFmtId="168" fontId="202" fillId="0" borderId="32" xfId="0" applyNumberFormat="1" applyFont="1" applyBorder="1" applyAlignment="1">
      <alignment horizontal="center" vertical="center"/>
    </xf>
    <xf numFmtId="174" fontId="202" fillId="0" borderId="12" xfId="0" applyFont="1" applyBorder="1" applyAlignment="1">
      <alignment horizontal="left" vertical="center"/>
    </xf>
    <xf numFmtId="43" fontId="202" fillId="0" borderId="12" xfId="0" applyNumberFormat="1" applyFont="1" applyBorder="1" applyAlignment="1">
      <alignment horizontal="right" vertical="center"/>
    </xf>
    <xf numFmtId="174" fontId="202" fillId="0" borderId="26" xfId="0" applyFont="1" applyBorder="1" applyAlignment="1">
      <alignment horizontal="center" vertical="center"/>
    </xf>
    <xf numFmtId="174" fontId="202" fillId="0" borderId="34" xfId="0" applyFont="1" applyBorder="1" applyAlignment="1">
      <alignment horizontal="center" vertical="center"/>
    </xf>
    <xf numFmtId="43" fontId="202" fillId="0" borderId="34" xfId="294" applyFont="1" applyFill="1" applyBorder="1" applyAlignment="1">
      <alignment horizontal="center" vertical="center"/>
    </xf>
    <xf numFmtId="174" fontId="207" fillId="70" borderId="11" xfId="362" applyFont="1" applyFill="1" applyBorder="1" applyAlignment="1">
      <alignment horizontal="center" vertical="center"/>
    </xf>
    <xf numFmtId="174" fontId="207" fillId="70" borderId="13" xfId="362" applyFont="1" applyFill="1" applyBorder="1" applyAlignment="1">
      <alignment horizontal="center" vertical="center"/>
    </xf>
    <xf numFmtId="174" fontId="207" fillId="70" borderId="14" xfId="362" applyFont="1" applyFill="1" applyBorder="1" applyAlignment="1">
      <alignment horizontal="center" vertical="center"/>
    </xf>
    <xf numFmtId="10" fontId="190" fillId="0" borderId="31" xfId="362" applyNumberFormat="1" applyFont="1" applyBorder="1" applyAlignment="1">
      <alignment horizontal="center" vertical="center"/>
    </xf>
    <xf numFmtId="43" fontId="190" fillId="0" borderId="24" xfId="362" applyNumberFormat="1" applyFont="1" applyBorder="1" applyAlignment="1">
      <alignment horizontal="center" vertical="center"/>
    </xf>
    <xf numFmtId="171" fontId="190" fillId="0" borderId="25" xfId="362" applyNumberFormat="1" applyFont="1" applyBorder="1" applyAlignment="1">
      <alignment horizontal="center" vertical="center"/>
    </xf>
    <xf numFmtId="171" fontId="48" fillId="0" borderId="0" xfId="521" applyNumberFormat="1" applyFont="1" applyAlignment="1">
      <alignment vertical="center"/>
    </xf>
    <xf numFmtId="0" fontId="43" fillId="0" borderId="0" xfId="549" applyFont="1" applyAlignment="1">
      <alignment horizontal="left" vertical="center"/>
    </xf>
    <xf numFmtId="43" fontId="58" fillId="0" borderId="0" xfId="0" applyNumberFormat="1" applyFont="1" applyAlignment="1">
      <alignment horizontal="center" vertical="center" wrapText="1"/>
    </xf>
    <xf numFmtId="43" fontId="58" fillId="0" borderId="0" xfId="0" applyNumberFormat="1" applyFont="1" applyAlignment="1">
      <alignment horizontal="center"/>
    </xf>
    <xf numFmtId="177" fontId="51" fillId="0" borderId="0" xfId="0" applyNumberFormat="1" applyFont="1"/>
    <xf numFmtId="3" fontId="51" fillId="0" borderId="0" xfId="0" applyNumberFormat="1" applyFont="1"/>
    <xf numFmtId="43" fontId="254" fillId="0" borderId="26" xfId="0" applyNumberFormat="1" applyFont="1" applyBorder="1" applyAlignment="1">
      <alignment horizontal="center" vertical="center"/>
    </xf>
    <xf numFmtId="168" fontId="254" fillId="0" borderId="34" xfId="0" applyNumberFormat="1" applyFont="1" applyBorder="1" applyAlignment="1">
      <alignment horizontal="center" vertical="center"/>
    </xf>
    <xf numFmtId="171" fontId="254" fillId="0" borderId="34" xfId="521" applyNumberFormat="1" applyFont="1" applyFill="1" applyBorder="1" applyAlignment="1">
      <alignment horizontal="center" vertical="center"/>
    </xf>
    <xf numFmtId="43" fontId="256" fillId="70" borderId="16" xfId="0" applyNumberFormat="1" applyFont="1" applyFill="1" applyBorder="1" applyAlignment="1">
      <alignment horizontal="center" vertical="center" wrapText="1"/>
    </xf>
    <xf numFmtId="43" fontId="254" fillId="0" borderId="32" xfId="0" applyNumberFormat="1" applyFont="1" applyBorder="1" applyAlignment="1">
      <alignment horizontal="center" vertical="center"/>
    </xf>
    <xf numFmtId="3" fontId="254" fillId="0" borderId="12" xfId="0" applyNumberFormat="1" applyFont="1" applyBorder="1" applyAlignment="1">
      <alignment horizontal="center" vertical="center"/>
    </xf>
    <xf numFmtId="171" fontId="254" fillId="0" borderId="12" xfId="521" applyNumberFormat="1" applyFont="1" applyFill="1" applyBorder="1" applyAlignment="1" applyProtection="1">
      <alignment horizontal="center" vertical="center"/>
    </xf>
    <xf numFmtId="3" fontId="255" fillId="0" borderId="12" xfId="0" applyNumberFormat="1" applyFont="1" applyBorder="1" applyAlignment="1">
      <alignment horizontal="center" vertical="center"/>
    </xf>
    <xf numFmtId="171" fontId="254" fillId="0" borderId="12" xfId="0" applyNumberFormat="1" applyFont="1" applyBorder="1" applyAlignment="1">
      <alignment horizontal="center" vertical="center"/>
    </xf>
    <xf numFmtId="171" fontId="254" fillId="0" borderId="23" xfId="0" applyNumberFormat="1" applyFont="1" applyBorder="1" applyAlignment="1">
      <alignment horizontal="center" vertical="center"/>
    </xf>
    <xf numFmtId="174" fontId="35" fillId="0" borderId="0" xfId="0" applyFont="1" applyAlignment="1">
      <alignment vertical="center"/>
    </xf>
    <xf numFmtId="3" fontId="61"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54" fillId="0" borderId="34" xfId="0" applyNumberFormat="1" applyFont="1" applyBorder="1" applyAlignment="1">
      <alignment horizontal="center" vertical="center"/>
    </xf>
    <xf numFmtId="171" fontId="254" fillId="0" borderId="25" xfId="0" applyNumberFormat="1" applyFont="1" applyBorder="1" applyAlignment="1">
      <alignment horizontal="center" vertical="center"/>
    </xf>
    <xf numFmtId="174" fontId="38" fillId="0" borderId="0" xfId="0" applyFont="1" applyAlignment="1">
      <alignment vertical="center"/>
    </xf>
    <xf numFmtId="185" fontId="48" fillId="0" borderId="0" xfId="0" applyNumberFormat="1" applyFont="1" applyAlignment="1">
      <alignment vertical="center"/>
    </xf>
    <xf numFmtId="174" fontId="213" fillId="70"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213" fillId="70" borderId="12" xfId="0" applyNumberFormat="1" applyFont="1" applyFill="1" applyBorder="1" applyAlignment="1">
      <alignment vertical="center"/>
    </xf>
    <xf numFmtId="43" fontId="213" fillId="70" borderId="12" xfId="0" applyNumberFormat="1" applyFont="1" applyFill="1" applyBorder="1" applyAlignment="1">
      <alignment horizontal="center" vertical="center"/>
    </xf>
    <xf numFmtId="0" fontId="33" fillId="70" borderId="16" xfId="549" applyFont="1" applyFill="1" applyBorder="1" applyAlignment="1">
      <alignment horizontal="center" vertical="center"/>
    </xf>
    <xf numFmtId="0" fontId="33" fillId="70" borderId="13" xfId="549" applyFont="1" applyFill="1" applyBorder="1" applyAlignment="1">
      <alignment horizontal="center" vertical="center"/>
    </xf>
    <xf numFmtId="0" fontId="33" fillId="70" borderId="14" xfId="549" applyFont="1" applyFill="1" applyBorder="1" applyAlignment="1">
      <alignment horizontal="center" vertical="center"/>
    </xf>
    <xf numFmtId="0" fontId="95" fillId="0" borderId="32" xfId="1071" applyFont="1" applyBorder="1"/>
    <xf numFmtId="43" fontId="4" fillId="0" borderId="12" xfId="1071" applyNumberFormat="1" applyFont="1" applyBorder="1"/>
    <xf numFmtId="43" fontId="4" fillId="0" borderId="12" xfId="294" applyFont="1" applyFill="1" applyBorder="1" applyAlignment="1"/>
    <xf numFmtId="43" fontId="95" fillId="0" borderId="23" xfId="294" applyFont="1" applyFill="1" applyBorder="1" applyAlignment="1"/>
    <xf numFmtId="0" fontId="95" fillId="0" borderId="26" xfId="1071" applyFont="1" applyBorder="1"/>
    <xf numFmtId="43" fontId="95" fillId="0" borderId="34" xfId="1071" applyNumberFormat="1" applyFont="1" applyBorder="1"/>
    <xf numFmtId="40" fontId="96" fillId="0" borderId="26" xfId="365" applyNumberFormat="1" applyFont="1" applyBorder="1" applyAlignment="1">
      <alignment horizontal="center" vertical="center" wrapText="1"/>
    </xf>
    <xf numFmtId="174" fontId="52" fillId="0" borderId="56" xfId="0" applyFont="1" applyBorder="1" applyAlignment="1">
      <alignment horizontal="center" vertical="center" wrapText="1"/>
    </xf>
    <xf numFmtId="174" fontId="151" fillId="0" borderId="0" xfId="0" applyFont="1" applyAlignment="1">
      <alignment vertical="top" readingOrder="1"/>
    </xf>
    <xf numFmtId="174" fontId="263" fillId="0" borderId="0" xfId="0" applyFont="1" applyAlignment="1">
      <alignment horizontal="justify" vertical="center"/>
    </xf>
    <xf numFmtId="41" fontId="78" fillId="0" borderId="0" xfId="0" applyNumberFormat="1" applyFont="1"/>
    <xf numFmtId="41" fontId="264" fillId="0" borderId="0" xfId="0" applyNumberFormat="1" applyFont="1"/>
    <xf numFmtId="174" fontId="183" fillId="70" borderId="16" xfId="0" applyFont="1" applyFill="1" applyBorder="1" applyAlignment="1">
      <alignment horizontal="center" vertical="center" wrapText="1"/>
    </xf>
    <xf numFmtId="174" fontId="183" fillId="70" borderId="11" xfId="0" applyFont="1" applyFill="1" applyBorder="1" applyAlignment="1">
      <alignment horizontal="center" vertical="center"/>
    </xf>
    <xf numFmtId="174" fontId="184" fillId="25" borderId="17" xfId="0" applyFont="1" applyFill="1" applyBorder="1" applyAlignment="1">
      <alignment horizontal="left" vertical="center"/>
    </xf>
    <xf numFmtId="43" fontId="187" fillId="25" borderId="0" xfId="577" applyFont="1" applyFill="1" applyBorder="1" applyAlignment="1">
      <alignment horizontal="center" vertical="center"/>
    </xf>
    <xf numFmtId="0" fontId="96" fillId="0" borderId="0" xfId="0" applyNumberFormat="1" applyFont="1" applyAlignment="1">
      <alignment horizontal="center"/>
    </xf>
    <xf numFmtId="168" fontId="27" fillId="0" borderId="0" xfId="294" applyNumberFormat="1" applyFont="1" applyFill="1" applyBorder="1" applyAlignment="1">
      <alignment horizontal="center"/>
    </xf>
    <xf numFmtId="168" fontId="182" fillId="0" borderId="0" xfId="294" applyNumberFormat="1" applyFont="1" applyFill="1" applyBorder="1" applyAlignment="1">
      <alignment horizontal="center"/>
    </xf>
    <xf numFmtId="171" fontId="182" fillId="0" borderId="0" xfId="0" applyNumberFormat="1" applyFont="1" applyAlignment="1">
      <alignment horizontal="right"/>
    </xf>
    <xf numFmtId="168" fontId="174" fillId="25" borderId="12" xfId="294" applyNumberFormat="1" applyFont="1" applyFill="1" applyBorder="1"/>
    <xf numFmtId="49" fontId="182" fillId="70" borderId="13" xfId="0" applyNumberFormat="1" applyFont="1" applyFill="1" applyBorder="1" applyAlignment="1">
      <alignment horizontal="center" vertical="center" wrapText="1"/>
    </xf>
    <xf numFmtId="49" fontId="182" fillId="70" borderId="14" xfId="0" applyNumberFormat="1" applyFont="1" applyFill="1" applyBorder="1" applyAlignment="1">
      <alignment horizontal="center" vertical="center" wrapText="1"/>
    </xf>
    <xf numFmtId="49" fontId="148" fillId="70" borderId="32" xfId="0" applyNumberFormat="1" applyFont="1" applyFill="1" applyBorder="1" applyAlignment="1">
      <alignment horizontal="center" vertical="center" wrapText="1"/>
    </xf>
    <xf numFmtId="174" fontId="233" fillId="70" borderId="13" xfId="0" applyFont="1" applyFill="1" applyBorder="1" applyAlignment="1">
      <alignment horizontal="center" vertical="center" wrapText="1"/>
    </xf>
    <xf numFmtId="174" fontId="233" fillId="70" borderId="16" xfId="0" applyFont="1" applyFill="1" applyBorder="1" applyAlignment="1">
      <alignment horizontal="center" vertical="center" wrapText="1"/>
    </xf>
    <xf numFmtId="174" fontId="233" fillId="70" borderId="14" xfId="0" applyFont="1" applyFill="1" applyBorder="1" applyAlignment="1">
      <alignment horizontal="center" vertical="center" wrapText="1"/>
    </xf>
    <xf numFmtId="174" fontId="202" fillId="25" borderId="0" xfId="0" applyFont="1" applyFill="1" applyAlignment="1">
      <alignment horizontal="center" vertical="top" wrapText="1"/>
    </xf>
    <xf numFmtId="174" fontId="194" fillId="0" borderId="0" xfId="0" applyFont="1" applyAlignment="1">
      <alignment vertical="top"/>
    </xf>
    <xf numFmtId="49" fontId="202" fillId="25" borderId="12" xfId="296" applyNumberFormat="1" applyFont="1" applyFill="1" applyBorder="1" applyAlignment="1">
      <alignment horizontal="center" vertical="top"/>
    </xf>
    <xf numFmtId="3" fontId="202" fillId="25" borderId="12" xfId="296" applyNumberFormat="1" applyFont="1" applyFill="1" applyBorder="1" applyAlignment="1">
      <alignment horizontal="center" vertical="top"/>
    </xf>
    <xf numFmtId="41" fontId="174" fillId="25" borderId="12" xfId="296" applyNumberFormat="1" applyFont="1" applyFill="1" applyBorder="1" applyAlignment="1">
      <alignment horizontal="right" vertical="top"/>
    </xf>
    <xf numFmtId="174" fontId="209" fillId="70" borderId="12" xfId="359" applyFont="1" applyFill="1" applyBorder="1" applyAlignment="1">
      <alignment horizontal="center" vertical="center" wrapText="1"/>
    </xf>
    <xf numFmtId="174" fontId="188" fillId="70" borderId="16" xfId="359" applyFont="1" applyFill="1" applyBorder="1" applyAlignment="1">
      <alignment horizontal="center" vertical="center"/>
    </xf>
    <xf numFmtId="174" fontId="188" fillId="70" borderId="13" xfId="359" applyFont="1" applyFill="1" applyBorder="1" applyAlignment="1">
      <alignment horizontal="center" vertical="center" wrapText="1"/>
    </xf>
    <xf numFmtId="174" fontId="188" fillId="70" borderId="14" xfId="359" applyFont="1" applyFill="1" applyBorder="1" applyAlignment="1">
      <alignment horizontal="center" vertical="center" wrapText="1"/>
    </xf>
    <xf numFmtId="0" fontId="211" fillId="0" borderId="32" xfId="359" applyNumberFormat="1" applyFont="1" applyBorder="1" applyAlignment="1">
      <alignment horizontal="center" vertical="center"/>
    </xf>
    <xf numFmtId="3" fontId="191" fillId="25" borderId="12" xfId="296" applyNumberFormat="1" applyFont="1" applyFill="1" applyBorder="1" applyAlignment="1">
      <alignment horizontal="center" vertical="center"/>
    </xf>
    <xf numFmtId="3" fontId="191"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6" fillId="25" borderId="0" xfId="294" applyNumberFormat="1" applyFont="1" applyFill="1" applyBorder="1" applyAlignment="1">
      <alignment vertical="center"/>
    </xf>
    <xf numFmtId="10" fontId="61" fillId="0" borderId="0" xfId="521" applyNumberFormat="1" applyFont="1" applyAlignment="1">
      <alignment horizontal="center"/>
    </xf>
    <xf numFmtId="0" fontId="267" fillId="0" borderId="32" xfId="712" applyFont="1" applyBorder="1" applyAlignment="1">
      <alignment horizontal="center" vertical="center"/>
    </xf>
    <xf numFmtId="43" fontId="267" fillId="0" borderId="23" xfId="294" applyFont="1" applyFill="1" applyBorder="1" applyAlignment="1">
      <alignment horizontal="center" vertical="center"/>
    </xf>
    <xf numFmtId="43" fontId="268" fillId="25" borderId="12" xfId="294" applyFont="1" applyFill="1" applyBorder="1" applyAlignment="1">
      <alignment horizontal="center" vertical="center"/>
    </xf>
    <xf numFmtId="0" fontId="267" fillId="25" borderId="32" xfId="712" applyFont="1" applyFill="1" applyBorder="1" applyAlignment="1">
      <alignment horizontal="center" vertical="center"/>
    </xf>
    <xf numFmtId="0" fontId="267" fillId="0" borderId="26" xfId="712" applyFont="1" applyBorder="1" applyAlignment="1">
      <alignment horizontal="center" vertical="center"/>
    </xf>
    <xf numFmtId="43" fontId="267" fillId="0" borderId="34" xfId="712" applyNumberFormat="1" applyFont="1" applyBorder="1" applyAlignment="1">
      <alignment horizontal="center" vertical="center"/>
    </xf>
    <xf numFmtId="43" fontId="267" fillId="0" borderId="25" xfId="712" applyNumberFormat="1" applyFont="1" applyBorder="1" applyAlignment="1">
      <alignment horizontal="center" vertical="center"/>
    </xf>
    <xf numFmtId="174" fontId="269" fillId="0" borderId="0" xfId="0" applyFont="1"/>
    <xf numFmtId="174" fontId="37" fillId="70" borderId="16" xfId="421" applyFont="1" applyFill="1" applyBorder="1" applyAlignment="1">
      <alignment horizontal="center" vertical="center"/>
    </xf>
    <xf numFmtId="174" fontId="37" fillId="70" borderId="13" xfId="421" applyFont="1" applyFill="1" applyBorder="1" applyAlignment="1">
      <alignment horizontal="center" vertical="center" wrapText="1"/>
    </xf>
    <xf numFmtId="174" fontId="37" fillId="70" borderId="14" xfId="421" applyFont="1" applyFill="1" applyBorder="1" applyAlignment="1">
      <alignment horizontal="center" vertical="center" wrapText="1"/>
    </xf>
    <xf numFmtId="38" fontId="187" fillId="25" borderId="12" xfId="0" applyNumberFormat="1" applyFont="1" applyFill="1" applyBorder="1" applyAlignment="1">
      <alignment horizontal="center" vertical="center"/>
    </xf>
    <xf numFmtId="174" fontId="188" fillId="70" borderId="14" xfId="0" applyFont="1" applyFill="1" applyBorder="1" applyAlignment="1">
      <alignment horizontal="center" vertical="center" wrapText="1"/>
    </xf>
    <xf numFmtId="168" fontId="274" fillId="0" borderId="32" xfId="294" applyNumberFormat="1" applyFont="1" applyBorder="1" applyAlignment="1">
      <alignment horizontal="center" vertical="top"/>
    </xf>
    <xf numFmtId="168" fontId="274" fillId="0" borderId="26" xfId="294" applyNumberFormat="1" applyFont="1" applyBorder="1" applyAlignment="1">
      <alignment horizontal="center" vertical="top"/>
    </xf>
    <xf numFmtId="174" fontId="275" fillId="0" borderId="0" xfId="0" applyFont="1"/>
    <xf numFmtId="174" fontId="193" fillId="60" borderId="16" xfId="0" applyFont="1" applyFill="1" applyBorder="1" applyAlignment="1">
      <alignment horizontal="center" vertical="center" wrapText="1"/>
    </xf>
    <xf numFmtId="38" fontId="230" fillId="0" borderId="12" xfId="0" applyNumberFormat="1" applyFont="1" applyBorder="1" applyAlignment="1">
      <alignment horizontal="center" vertical="center"/>
    </xf>
    <xf numFmtId="38" fontId="229" fillId="0" borderId="12" xfId="0" applyNumberFormat="1" applyFont="1" applyBorder="1" applyAlignment="1">
      <alignment horizontal="center" vertical="center"/>
    </xf>
    <xf numFmtId="171" fontId="229" fillId="0" borderId="12" xfId="0" applyNumberFormat="1" applyFont="1" applyBorder="1" applyAlignment="1">
      <alignment horizontal="center" vertical="center"/>
    </xf>
    <xf numFmtId="171" fontId="229" fillId="0" borderId="23" xfId="0" applyNumberFormat="1" applyFont="1" applyBorder="1" applyAlignment="1">
      <alignment horizontal="center" vertical="center"/>
    </xf>
    <xf numFmtId="49" fontId="229" fillId="25" borderId="32" xfId="0" applyNumberFormat="1" applyFont="1" applyFill="1" applyBorder="1" applyAlignment="1">
      <alignment horizontal="center" vertical="center"/>
    </xf>
    <xf numFmtId="38" fontId="229" fillId="25" borderId="12" xfId="0" applyNumberFormat="1" applyFont="1" applyFill="1" applyBorder="1" applyAlignment="1">
      <alignment horizontal="center" vertical="center"/>
    </xf>
    <xf numFmtId="171" fontId="229" fillId="25" borderId="12" xfId="0" applyNumberFormat="1" applyFont="1" applyFill="1" applyBorder="1" applyAlignment="1">
      <alignment horizontal="center" vertical="center"/>
    </xf>
    <xf numFmtId="171" fontId="229" fillId="25" borderId="23" xfId="0" applyNumberFormat="1" applyFont="1" applyFill="1" applyBorder="1" applyAlignment="1">
      <alignment horizontal="center" vertical="center"/>
    </xf>
    <xf numFmtId="49" fontId="229" fillId="25" borderId="26" xfId="0" applyNumberFormat="1" applyFont="1" applyFill="1" applyBorder="1" applyAlignment="1">
      <alignment horizontal="center" vertical="center"/>
    </xf>
    <xf numFmtId="171" fontId="187" fillId="0" borderId="12" xfId="299" applyNumberFormat="1" applyFont="1" applyFill="1" applyBorder="1" applyAlignment="1">
      <alignment horizontal="center" vertical="center" wrapText="1"/>
    </xf>
    <xf numFmtId="17" fontId="211" fillId="0" borderId="32" xfId="0" applyNumberFormat="1" applyFont="1" applyBorder="1" applyAlignment="1">
      <alignment horizontal="center" vertical="center"/>
    </xf>
    <xf numFmtId="3" fontId="191" fillId="0" borderId="12" xfId="0" applyNumberFormat="1" applyFont="1" applyBorder="1" applyAlignment="1">
      <alignment horizontal="center" vertical="center"/>
    </xf>
    <xf numFmtId="3" fontId="211" fillId="0" borderId="12" xfId="0" applyNumberFormat="1" applyFont="1" applyBorder="1" applyAlignment="1">
      <alignment horizontal="center" vertical="center"/>
    </xf>
    <xf numFmtId="3" fontId="211" fillId="0" borderId="23" xfId="0" applyNumberFormat="1" applyFont="1" applyBorder="1" applyAlignment="1">
      <alignment horizontal="center" vertical="center"/>
    </xf>
    <xf numFmtId="10" fontId="179" fillId="0" borderId="0" xfId="0" applyNumberFormat="1" applyFont="1" applyAlignment="1">
      <alignment vertical="center"/>
    </xf>
    <xf numFmtId="174" fontId="179" fillId="0" borderId="0" xfId="0" applyFont="1" applyAlignment="1">
      <alignment vertical="center"/>
    </xf>
    <xf numFmtId="17" fontId="211" fillId="0" borderId="26" xfId="0" applyNumberFormat="1" applyFont="1" applyBorder="1" applyAlignment="1">
      <alignment horizontal="center" vertical="center"/>
    </xf>
    <xf numFmtId="3" fontId="191" fillId="0" borderId="34" xfId="0" applyNumberFormat="1" applyFont="1" applyBorder="1" applyAlignment="1">
      <alignment horizontal="center" vertical="center"/>
    </xf>
    <xf numFmtId="3" fontId="211" fillId="0" borderId="25" xfId="0" applyNumberFormat="1" applyFont="1" applyBorder="1" applyAlignment="1">
      <alignment horizontal="center" vertical="center"/>
    </xf>
    <xf numFmtId="174" fontId="191" fillId="0" borderId="0" xfId="0" applyFont="1" applyAlignment="1">
      <alignment vertical="center"/>
    </xf>
    <xf numFmtId="174" fontId="176" fillId="70" borderId="0" xfId="0" applyFont="1" applyFill="1"/>
    <xf numFmtId="43" fontId="157" fillId="0" borderId="0" xfId="294" applyFont="1"/>
    <xf numFmtId="43" fontId="179" fillId="0" borderId="0" xfId="294" applyFont="1" applyAlignment="1">
      <alignment vertical="center"/>
    </xf>
    <xf numFmtId="43" fontId="4" fillId="0" borderId="0" xfId="294" applyFont="1"/>
    <xf numFmtId="43" fontId="143" fillId="0" borderId="0" xfId="294" applyFont="1"/>
    <xf numFmtId="171" fontId="177" fillId="0" borderId="0" xfId="521" applyNumberFormat="1" applyFont="1"/>
    <xf numFmtId="186" fontId="177" fillId="0" borderId="0" xfId="0" applyNumberFormat="1" applyFont="1"/>
    <xf numFmtId="3" fontId="27" fillId="0" borderId="0" xfId="296" applyNumberFormat="1" applyFont="1" applyFill="1" applyBorder="1" applyAlignment="1">
      <alignment vertical="center"/>
    </xf>
    <xf numFmtId="10" fontId="182" fillId="0" borderId="0" xfId="521" applyNumberFormat="1" applyFont="1" applyAlignment="1">
      <alignment horizontal="center" vertical="center"/>
    </xf>
    <xf numFmtId="174" fontId="182" fillId="0" borderId="0" xfId="0" applyFont="1" applyAlignment="1">
      <alignment horizontal="center" vertical="center"/>
    </xf>
    <xf numFmtId="10" fontId="177" fillId="0" borderId="0" xfId="521" applyNumberFormat="1" applyFont="1" applyAlignment="1">
      <alignment horizontal="center" vertical="center"/>
    </xf>
    <xf numFmtId="10" fontId="177" fillId="0" borderId="0" xfId="0" applyNumberFormat="1" applyFont="1" applyAlignment="1">
      <alignment horizontal="center" vertical="center"/>
    </xf>
    <xf numFmtId="9" fontId="177" fillId="0" borderId="0" xfId="521" applyFont="1"/>
    <xf numFmtId="10" fontId="278" fillId="0" borderId="0" xfId="521" applyNumberFormat="1" applyFont="1" applyAlignment="1">
      <alignment horizontal="center" vertical="center"/>
    </xf>
    <xf numFmtId="168" fontId="233" fillId="70" borderId="34" xfId="294" applyNumberFormat="1" applyFont="1" applyFill="1" applyBorder="1" applyAlignment="1">
      <alignment horizontal="center" vertical="center"/>
    </xf>
    <xf numFmtId="10" fontId="188" fillId="70" borderId="25" xfId="0" applyNumberFormat="1" applyFont="1" applyFill="1" applyBorder="1" applyAlignment="1">
      <alignment horizontal="center" vertical="center"/>
    </xf>
    <xf numFmtId="4" fontId="230" fillId="25" borderId="23" xfId="294" applyNumberFormat="1" applyFont="1" applyFill="1" applyBorder="1" applyAlignment="1">
      <alignment horizontal="right"/>
    </xf>
    <xf numFmtId="174" fontId="58" fillId="70" borderId="12" xfId="419" applyFont="1" applyFill="1" applyBorder="1" applyAlignment="1">
      <alignment horizontal="center" vertical="center"/>
    </xf>
    <xf numFmtId="174" fontId="58" fillId="70" borderId="33" xfId="419" applyFont="1" applyFill="1" applyBorder="1" applyAlignment="1">
      <alignment horizontal="center" vertical="center"/>
    </xf>
    <xf numFmtId="43" fontId="45" fillId="0" borderId="12" xfId="0" applyNumberFormat="1" applyFont="1" applyBorder="1" applyAlignment="1">
      <alignment vertical="center"/>
    </xf>
    <xf numFmtId="0" fontId="53" fillId="25" borderId="1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2" fillId="60" borderId="16" xfId="0" applyFont="1" applyFill="1" applyBorder="1" applyAlignment="1">
      <alignment horizontal="center" vertical="center" wrapText="1"/>
    </xf>
    <xf numFmtId="174" fontId="142" fillId="60" borderId="13" xfId="0" applyFont="1" applyFill="1" applyBorder="1" applyAlignment="1">
      <alignment horizontal="center" vertical="center" wrapText="1"/>
    </xf>
    <xf numFmtId="174" fontId="142" fillId="60" borderId="14" xfId="0" applyFont="1" applyFill="1" applyBorder="1" applyAlignment="1">
      <alignment horizontal="center" vertical="center" wrapText="1"/>
    </xf>
    <xf numFmtId="49" fontId="95"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5" fillId="0" borderId="12" xfId="307" applyNumberFormat="1" applyFont="1" applyFill="1" applyBorder="1" applyAlignment="1">
      <alignment horizontal="center" vertical="top"/>
    </xf>
    <xf numFmtId="171" fontId="95" fillId="0" borderId="12" xfId="0" applyNumberFormat="1" applyFont="1" applyBorder="1" applyAlignment="1">
      <alignment horizontal="center" vertical="top"/>
    </xf>
    <xf numFmtId="171" fontId="95"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5"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5" fillId="25" borderId="12" xfId="299" applyNumberFormat="1" applyFont="1" applyFill="1" applyBorder="1" applyAlignment="1">
      <alignment horizontal="center" vertical="center"/>
    </xf>
    <xf numFmtId="0" fontId="95"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5"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5" fillId="0" borderId="34" xfId="299" applyNumberFormat="1" applyFont="1" applyFill="1" applyBorder="1" applyAlignment="1">
      <alignment horizontal="center" vertical="center"/>
    </xf>
    <xf numFmtId="0" fontId="64" fillId="67" borderId="33" xfId="2466" applyFont="1" applyFill="1" applyBorder="1" applyAlignment="1">
      <alignment vertical="center"/>
    </xf>
    <xf numFmtId="174" fontId="142" fillId="61" borderId="13" xfId="0" applyFont="1" applyFill="1" applyBorder="1" applyAlignment="1">
      <alignment horizontal="center" vertical="center" wrapText="1"/>
    </xf>
    <xf numFmtId="174" fontId="142" fillId="58" borderId="13" xfId="0" applyFont="1" applyFill="1" applyBorder="1" applyAlignment="1">
      <alignment horizontal="center" vertical="center" wrapText="1"/>
    </xf>
    <xf numFmtId="174" fontId="189" fillId="25" borderId="12" xfId="0" applyFont="1" applyFill="1" applyBorder="1" applyAlignment="1">
      <alignment horizontal="center" vertical="center" wrapText="1"/>
    </xf>
    <xf numFmtId="3" fontId="191" fillId="25" borderId="12" xfId="299" applyNumberFormat="1" applyFont="1" applyFill="1" applyBorder="1" applyAlignment="1">
      <alignment horizontal="center" vertical="center"/>
    </xf>
    <xf numFmtId="174" fontId="183" fillId="60" borderId="16" xfId="0" applyFont="1" applyFill="1" applyBorder="1" applyAlignment="1">
      <alignment horizontal="center" vertical="center"/>
    </xf>
    <xf numFmtId="174" fontId="183" fillId="60" borderId="13" xfId="0" applyFont="1" applyFill="1" applyBorder="1" applyAlignment="1">
      <alignment horizontal="center" vertical="center" wrapText="1"/>
    </xf>
    <xf numFmtId="174" fontId="183" fillId="60" borderId="14" xfId="0" applyFont="1" applyFill="1" applyBorder="1" applyAlignment="1">
      <alignment horizontal="center" vertical="center" wrapText="1"/>
    </xf>
    <xf numFmtId="174" fontId="277" fillId="70" borderId="0" xfId="0" applyFont="1" applyFill="1" applyAlignment="1">
      <alignment horizontal="right"/>
    </xf>
    <xf numFmtId="174" fontId="277" fillId="70" borderId="0" xfId="0" applyFont="1" applyFill="1"/>
    <xf numFmtId="9" fontId="277" fillId="70" borderId="0" xfId="521" applyFont="1" applyFill="1"/>
    <xf numFmtId="174" fontId="277" fillId="0" borderId="0" xfId="0" applyFont="1" applyAlignment="1">
      <alignment horizontal="right"/>
    </xf>
    <xf numFmtId="174" fontId="277" fillId="0" borderId="0" xfId="0" applyFont="1"/>
    <xf numFmtId="9" fontId="277" fillId="0" borderId="0" xfId="521" applyFont="1"/>
    <xf numFmtId="0" fontId="237" fillId="8" borderId="57" xfId="1024" applyFont="1" applyFill="1" applyBorder="1" applyAlignment="1">
      <alignment horizontal="center" vertical="center" wrapText="1"/>
    </xf>
    <xf numFmtId="3" fontId="237" fillId="8" borderId="57" xfId="1024" applyNumberFormat="1" applyFont="1" applyFill="1" applyBorder="1" applyAlignment="1">
      <alignment horizontal="right" vertical="center" wrapText="1"/>
    </xf>
    <xf numFmtId="0" fontId="238" fillId="0" borderId="58" xfId="1024" applyFont="1" applyBorder="1" applyAlignment="1">
      <alignment vertical="top" wrapText="1"/>
    </xf>
    <xf numFmtId="3" fontId="238" fillId="0" borderId="59" xfId="1024" applyNumberFormat="1" applyFont="1" applyBorder="1" applyAlignment="1">
      <alignment horizontal="right" vertical="top" wrapText="1"/>
    </xf>
    <xf numFmtId="3" fontId="238" fillId="0" borderId="60" xfId="1024" applyNumberFormat="1" applyFont="1" applyBorder="1" applyAlignment="1">
      <alignment horizontal="right" vertical="top" wrapText="1"/>
    </xf>
    <xf numFmtId="174" fontId="277" fillId="0" borderId="0" xfId="0" applyFont="1" applyAlignment="1">
      <alignment vertical="center"/>
    </xf>
    <xf numFmtId="0" fontId="238" fillId="0" borderId="61" xfId="1024" applyFont="1" applyBorder="1" applyAlignment="1">
      <alignment vertical="top" wrapText="1"/>
    </xf>
    <xf numFmtId="3" fontId="238" fillId="0" borderId="62" xfId="1024" applyNumberFormat="1" applyFont="1" applyBorder="1" applyAlignment="1">
      <alignment horizontal="right" vertical="top" wrapText="1"/>
    </xf>
    <xf numFmtId="3" fontId="238" fillId="0" borderId="63" xfId="1024" applyNumberFormat="1" applyFont="1" applyBorder="1" applyAlignment="1">
      <alignment horizontal="right" vertical="top" wrapText="1"/>
    </xf>
    <xf numFmtId="0" fontId="238" fillId="0" borderId="64" xfId="1024" applyFont="1" applyBorder="1" applyAlignment="1">
      <alignment vertical="top" wrapText="1"/>
    </xf>
    <xf numFmtId="3" fontId="238" fillId="0" borderId="65" xfId="1024" applyNumberFormat="1" applyFont="1" applyBorder="1" applyAlignment="1">
      <alignment horizontal="right" vertical="top" wrapText="1"/>
    </xf>
    <xf numFmtId="3" fontId="238" fillId="0" borderId="66" xfId="1024" applyNumberFormat="1" applyFont="1" applyBorder="1" applyAlignment="1">
      <alignment horizontal="right" vertical="top" wrapText="1"/>
    </xf>
    <xf numFmtId="0" fontId="238" fillId="0" borderId="67" xfId="1024" applyFont="1" applyBorder="1" applyAlignment="1">
      <alignment vertical="top" wrapText="1"/>
    </xf>
    <xf numFmtId="3" fontId="238" fillId="0" borderId="68" xfId="1024" applyNumberFormat="1" applyFont="1" applyBorder="1" applyAlignment="1">
      <alignment horizontal="right" vertical="top" wrapText="1"/>
    </xf>
    <xf numFmtId="3" fontId="238" fillId="0" borderId="69" xfId="1024" applyNumberFormat="1" applyFont="1" applyBorder="1" applyAlignment="1">
      <alignment horizontal="right" vertical="top" wrapText="1"/>
    </xf>
    <xf numFmtId="185" fontId="277" fillId="0" borderId="0" xfId="0" applyNumberFormat="1" applyFont="1" applyAlignment="1">
      <alignment horizontal="right" vertical="center"/>
    </xf>
    <xf numFmtId="9" fontId="277" fillId="0" borderId="0" xfId="521" applyFont="1" applyAlignment="1">
      <alignment vertical="center"/>
    </xf>
    <xf numFmtId="9" fontId="277" fillId="0" borderId="0" xfId="521" applyFont="1" applyAlignment="1">
      <alignment horizontal="right"/>
    </xf>
    <xf numFmtId="174" fontId="280" fillId="0" borderId="0" xfId="0" applyFont="1"/>
    <xf numFmtId="9" fontId="280" fillId="0" borderId="0" xfId="521" applyFont="1" applyFill="1" applyBorder="1" applyAlignment="1" applyProtection="1">
      <alignment horizontal="right"/>
    </xf>
    <xf numFmtId="9" fontId="280" fillId="0" borderId="0" xfId="521" applyFont="1" applyFill="1" applyBorder="1" applyAlignment="1" applyProtection="1"/>
    <xf numFmtId="174" fontId="280" fillId="0" borderId="0" xfId="0" applyFont="1" applyAlignment="1">
      <alignment horizontal="right"/>
    </xf>
    <xf numFmtId="43" fontId="246" fillId="0" borderId="0" xfId="294" applyFont="1" applyFill="1" applyBorder="1" applyAlignment="1">
      <alignment vertical="center"/>
    </xf>
    <xf numFmtId="43" fontId="245" fillId="0" borderId="0" xfId="294" applyFont="1" applyFill="1" applyBorder="1" applyAlignment="1">
      <alignment vertical="center"/>
    </xf>
    <xf numFmtId="0" fontId="245" fillId="0" borderId="0" xfId="713" applyFont="1" applyAlignment="1">
      <alignment horizontal="center" vertical="center"/>
    </xf>
    <xf numFmtId="174" fontId="281" fillId="25" borderId="0" xfId="0" applyFont="1" applyFill="1"/>
    <xf numFmtId="174" fontId="281" fillId="25" borderId="0" xfId="0" applyFont="1" applyFill="1" applyAlignment="1">
      <alignment vertical="center"/>
    </xf>
    <xf numFmtId="174" fontId="194" fillId="0" borderId="0" xfId="0" applyFont="1" applyAlignment="1">
      <alignment horizontal="center"/>
    </xf>
    <xf numFmtId="174" fontId="180" fillId="0" borderId="0" xfId="0" applyFont="1" applyAlignment="1">
      <alignment horizontal="center"/>
    </xf>
    <xf numFmtId="174" fontId="179" fillId="0" borderId="0" xfId="0" applyFont="1" applyAlignment="1">
      <alignment horizontal="center"/>
    </xf>
    <xf numFmtId="40" fontId="210" fillId="25" borderId="12" xfId="294" applyNumberFormat="1" applyFont="1" applyFill="1" applyBorder="1" applyAlignment="1">
      <alignment vertical="center"/>
    </xf>
    <xf numFmtId="41" fontId="122" fillId="59" borderId="13" xfId="2466" applyNumberFormat="1" applyFont="1" applyFill="1" applyBorder="1" applyAlignment="1">
      <alignment horizontal="center" vertical="center" wrapText="1"/>
    </xf>
    <xf numFmtId="168" fontId="208" fillId="0" borderId="12" xfId="294" applyNumberFormat="1" applyFont="1" applyBorder="1" applyAlignment="1">
      <alignment vertical="center"/>
    </xf>
    <xf numFmtId="171" fontId="208" fillId="0" borderId="12" xfId="521" applyNumberFormat="1" applyFont="1" applyBorder="1" applyAlignment="1">
      <alignment vertical="center"/>
    </xf>
    <xf numFmtId="168" fontId="186" fillId="0" borderId="12" xfId="294" applyNumberFormat="1" applyFont="1" applyBorder="1" applyAlignment="1">
      <alignment vertical="center"/>
    </xf>
    <xf numFmtId="168" fontId="157" fillId="0" borderId="12" xfId="294" applyNumberFormat="1" applyFont="1" applyBorder="1" applyAlignment="1">
      <alignment vertical="center"/>
    </xf>
    <xf numFmtId="171" fontId="186" fillId="0" borderId="12" xfId="521" applyNumberFormat="1" applyFont="1" applyBorder="1" applyAlignment="1">
      <alignment vertical="center"/>
    </xf>
    <xf numFmtId="0" fontId="253" fillId="70" borderId="12" xfId="713" applyFont="1" applyFill="1" applyBorder="1" applyAlignment="1">
      <alignment horizontal="center" vertical="center" wrapText="1"/>
    </xf>
    <xf numFmtId="0" fontId="245" fillId="0" borderId="12" xfId="713" applyFont="1" applyBorder="1" applyAlignment="1">
      <alignment horizontal="center" vertical="center"/>
    </xf>
    <xf numFmtId="43" fontId="246" fillId="0" borderId="12" xfId="294" applyFont="1" applyFill="1" applyBorder="1" applyAlignment="1">
      <alignment vertical="center"/>
    </xf>
    <xf numFmtId="43" fontId="245" fillId="0" borderId="12" xfId="294" applyFont="1" applyFill="1" applyBorder="1" applyAlignment="1">
      <alignment vertical="center"/>
    </xf>
    <xf numFmtId="43" fontId="246" fillId="25" borderId="12" xfId="294" applyFont="1" applyFill="1" applyBorder="1" applyAlignment="1">
      <alignment vertical="center"/>
    </xf>
    <xf numFmtId="0" fontId="245" fillId="25" borderId="12" xfId="713" applyFont="1" applyFill="1" applyBorder="1" applyAlignment="1">
      <alignment horizontal="center" vertical="center"/>
    </xf>
    <xf numFmtId="43" fontId="191" fillId="0" borderId="0" xfId="0" applyNumberFormat="1" applyFont="1"/>
    <xf numFmtId="43" fontId="233" fillId="70" borderId="13" xfId="0" applyNumberFormat="1" applyFont="1" applyFill="1" applyBorder="1"/>
    <xf numFmtId="171" fontId="191" fillId="0" borderId="0" xfId="521" applyNumberFormat="1" applyFont="1" applyFill="1"/>
    <xf numFmtId="10" fontId="233" fillId="70" borderId="13" xfId="521" applyNumberFormat="1" applyFont="1" applyFill="1" applyBorder="1"/>
    <xf numFmtId="10" fontId="191" fillId="0" borderId="0" xfId="521" applyNumberFormat="1" applyFont="1" applyFill="1"/>
    <xf numFmtId="10" fontId="32" fillId="0" borderId="0" xfId="521" applyNumberFormat="1" applyFont="1"/>
    <xf numFmtId="174" fontId="47" fillId="25" borderId="12" xfId="0" applyFont="1" applyFill="1" applyBorder="1" applyAlignment="1">
      <alignment horizontal="center" vertical="center" wrapText="1"/>
    </xf>
    <xf numFmtId="3" fontId="0" fillId="0" borderId="0" xfId="0" applyNumberFormat="1"/>
    <xf numFmtId="174" fontId="33" fillId="70" borderId="16" xfId="0" applyFont="1" applyFill="1" applyBorder="1" applyAlignment="1">
      <alignment horizontal="center" vertical="center" wrapText="1"/>
    </xf>
    <xf numFmtId="174" fontId="33" fillId="70" borderId="11" xfId="0" applyFont="1" applyFill="1" applyBorder="1" applyAlignment="1">
      <alignment horizontal="center" vertical="center"/>
    </xf>
    <xf numFmtId="174" fontId="47" fillId="27" borderId="17" xfId="0" applyFont="1" applyFill="1" applyBorder="1" applyAlignment="1">
      <alignment horizontal="left" vertical="center"/>
    </xf>
    <xf numFmtId="43" fontId="38" fillId="27" borderId="0" xfId="577" applyFont="1" applyFill="1" applyBorder="1" applyAlignment="1">
      <alignment horizontal="center" vertical="center"/>
    </xf>
    <xf numFmtId="10" fontId="174" fillId="0" borderId="12" xfId="0" applyNumberFormat="1" applyFont="1" applyBorder="1"/>
    <xf numFmtId="174" fontId="188" fillId="70" borderId="16" xfId="0" applyFont="1" applyFill="1" applyBorder="1" applyAlignment="1">
      <alignment horizontal="center" vertical="center" wrapText="1"/>
    </xf>
    <xf numFmtId="0" fontId="133" fillId="27" borderId="38" xfId="1203" applyFont="1" applyFill="1" applyBorder="1" applyAlignment="1">
      <alignment horizontal="left" vertical="center" wrapText="1" indent="2"/>
    </xf>
    <xf numFmtId="0" fontId="133" fillId="27" borderId="40" xfId="1203" applyFont="1" applyFill="1" applyBorder="1" applyAlignment="1">
      <alignment horizontal="left" vertical="center" wrapText="1" indent="2"/>
    </xf>
    <xf numFmtId="0" fontId="229" fillId="25" borderId="26" xfId="0" applyNumberFormat="1" applyFont="1" applyFill="1" applyBorder="1" applyAlignment="1">
      <alignment horizontal="center" vertical="center"/>
    </xf>
    <xf numFmtId="174" fontId="114" fillId="0" borderId="0" xfId="0" applyFont="1"/>
    <xf numFmtId="3" fontId="120" fillId="0" borderId="12" xfId="0" applyNumberFormat="1" applyFont="1" applyBorder="1" applyAlignment="1">
      <alignment horizontal="center" vertical="center" wrapText="1"/>
    </xf>
    <xf numFmtId="3" fontId="282" fillId="0" borderId="12" xfId="0" applyNumberFormat="1" applyFont="1" applyBorder="1" applyAlignment="1">
      <alignment horizontal="center" vertical="center" wrapText="1"/>
    </xf>
    <xf numFmtId="171" fontId="120" fillId="0" borderId="12" xfId="521" applyNumberFormat="1" applyFont="1" applyBorder="1" applyAlignment="1">
      <alignment horizontal="center" vertical="center" wrapText="1"/>
    </xf>
    <xf numFmtId="4" fontId="120" fillId="0" borderId="12" xfId="0" applyNumberFormat="1" applyFont="1" applyBorder="1" applyAlignment="1">
      <alignment horizontal="center" vertical="center" wrapText="1"/>
    </xf>
    <xf numFmtId="174" fontId="120" fillId="0" borderId="12" xfId="0" applyFont="1" applyBorder="1" applyAlignment="1">
      <alignment horizontal="center" vertical="center"/>
    </xf>
    <xf numFmtId="174" fontId="123" fillId="0" borderId="12" xfId="0" applyFont="1" applyBorder="1" applyAlignment="1">
      <alignment horizontal="center" wrapText="1"/>
    </xf>
    <xf numFmtId="43" fontId="120" fillId="0" borderId="12" xfId="294" applyFont="1" applyBorder="1" applyAlignment="1">
      <alignment horizontal="center" vertical="center"/>
    </xf>
    <xf numFmtId="174" fontId="120" fillId="0" borderId="12" xfId="0" applyFont="1" applyBorder="1" applyAlignment="1">
      <alignment horizontal="center" wrapText="1"/>
    </xf>
    <xf numFmtId="174" fontId="120" fillId="0" borderId="12" xfId="0" applyFont="1" applyBorder="1" applyAlignment="1">
      <alignment horizontal="center" vertical="center" wrapText="1"/>
    </xf>
    <xf numFmtId="43" fontId="114" fillId="0" borderId="12" xfId="294" applyFont="1" applyBorder="1"/>
    <xf numFmtId="174" fontId="42" fillId="70" borderId="0" xfId="0" applyFont="1" applyFill="1" applyAlignment="1">
      <alignment vertical="top" wrapText="1"/>
    </xf>
    <xf numFmtId="168" fontId="202" fillId="0" borderId="26" xfId="0" applyNumberFormat="1" applyFont="1" applyBorder="1" applyAlignment="1">
      <alignment horizontal="center" vertical="center"/>
    </xf>
    <xf numFmtId="174" fontId="202" fillId="0" borderId="34" xfId="0" applyFont="1" applyBorder="1" applyAlignment="1">
      <alignment horizontal="left" vertical="center"/>
    </xf>
    <xf numFmtId="43" fontId="202" fillId="0" borderId="25" xfId="0" applyNumberFormat="1" applyFont="1" applyBorder="1" applyAlignment="1">
      <alignment horizontal="right" vertical="center"/>
    </xf>
    <xf numFmtId="0" fontId="202" fillId="25" borderId="32" xfId="0" applyNumberFormat="1" applyFont="1" applyFill="1" applyBorder="1" applyAlignment="1">
      <alignment horizontal="center" vertical="top"/>
    </xf>
    <xf numFmtId="168" fontId="174" fillId="25" borderId="12" xfId="294" applyNumberFormat="1" applyFont="1" applyFill="1" applyBorder="1" applyAlignment="1">
      <alignment horizontal="right" vertical="top"/>
    </xf>
    <xf numFmtId="1" fontId="174" fillId="25" borderId="12" xfId="294" applyNumberFormat="1" applyFont="1" applyFill="1" applyBorder="1" applyAlignment="1">
      <alignment horizontal="right" vertical="top"/>
    </xf>
    <xf numFmtId="10" fontId="191" fillId="0" borderId="0" xfId="521" applyNumberFormat="1" applyFont="1" applyAlignment="1">
      <alignment vertical="center"/>
    </xf>
    <xf numFmtId="43" fontId="114" fillId="0" borderId="0" xfId="2466" applyNumberFormat="1" applyFont="1" applyAlignment="1">
      <alignment horizontal="left" vertical="center"/>
    </xf>
    <xf numFmtId="43" fontId="0" fillId="0" borderId="0" xfId="294" applyFont="1"/>
    <xf numFmtId="185" fontId="0" fillId="0" borderId="0" xfId="0" applyNumberFormat="1"/>
    <xf numFmtId="43" fontId="112" fillId="0" borderId="0" xfId="549" applyNumberFormat="1" applyFont="1"/>
    <xf numFmtId="43" fontId="65" fillId="0" borderId="0" xfId="2466" applyNumberFormat="1" applyFont="1" applyAlignment="1">
      <alignment vertical="center"/>
    </xf>
    <xf numFmtId="0" fontId="114" fillId="25" borderId="0" xfId="2466" applyFont="1" applyFill="1" applyAlignment="1">
      <alignment horizontal="center" vertical="center"/>
    </xf>
    <xf numFmtId="174" fontId="157" fillId="0" borderId="0" xfId="0" applyFont="1" applyAlignment="1">
      <alignment horizontal="right" vertical="center"/>
    </xf>
    <xf numFmtId="174" fontId="157" fillId="0" borderId="0" xfId="0" applyFont="1" applyAlignment="1">
      <alignment vertical="center" wrapText="1"/>
    </xf>
    <xf numFmtId="174" fontId="200" fillId="0" borderId="0" xfId="0" applyFont="1" applyAlignment="1">
      <alignment vertical="center"/>
    </xf>
    <xf numFmtId="174" fontId="157" fillId="0" borderId="0" xfId="0" applyFont="1" applyAlignment="1">
      <alignment horizontal="right" vertical="center" wrapText="1"/>
    </xf>
    <xf numFmtId="174" fontId="157" fillId="0" borderId="0" xfId="0" applyFont="1" applyAlignment="1">
      <alignment horizontal="left" vertical="center"/>
    </xf>
    <xf numFmtId="171" fontId="157" fillId="0" borderId="12" xfId="521" applyNumberFormat="1" applyFont="1" applyBorder="1" applyAlignment="1">
      <alignment horizontal="center" vertical="center"/>
    </xf>
    <xf numFmtId="171" fontId="157" fillId="0" borderId="0" xfId="521" applyNumberFormat="1" applyFont="1" applyBorder="1" applyAlignment="1">
      <alignment horizontal="center" vertical="center"/>
    </xf>
    <xf numFmtId="174" fontId="186" fillId="0" borderId="12" xfId="0" applyFont="1" applyBorder="1" applyAlignment="1">
      <alignment horizontal="left" vertical="center"/>
    </xf>
    <xf numFmtId="179" fontId="157" fillId="0" borderId="0" xfId="0" applyNumberFormat="1" applyFont="1" applyAlignment="1">
      <alignment horizontal="left" vertical="center"/>
    </xf>
    <xf numFmtId="179" fontId="157" fillId="0" borderId="12" xfId="0" applyNumberFormat="1" applyFont="1" applyBorder="1" applyAlignment="1">
      <alignment horizontal="left" vertical="center"/>
    </xf>
    <xf numFmtId="4" fontId="27" fillId="0" borderId="12" xfId="0" applyNumberFormat="1" applyFont="1" applyBorder="1" applyAlignment="1">
      <alignment horizontal="right"/>
    </xf>
    <xf numFmtId="174" fontId="205" fillId="70" borderId="0" xfId="0" applyFont="1" applyFill="1"/>
    <xf numFmtId="174" fontId="270" fillId="0" borderId="0" xfId="0" applyFont="1"/>
    <xf numFmtId="10" fontId="205" fillId="0" borderId="0" xfId="521" applyNumberFormat="1" applyFont="1"/>
    <xf numFmtId="178" fontId="212" fillId="0" borderId="0" xfId="0" applyNumberFormat="1" applyFont="1"/>
    <xf numFmtId="174" fontId="176" fillId="0" borderId="0" xfId="0" applyFont="1" applyAlignment="1">
      <alignment horizontal="justify" vertical="top" wrapText="1"/>
    </xf>
    <xf numFmtId="168" fontId="174" fillId="25" borderId="12" xfId="294" applyNumberFormat="1" applyFont="1" applyFill="1" applyBorder="1" applyAlignment="1">
      <alignment horizontal="right" vertical="center"/>
    </xf>
    <xf numFmtId="17" fontId="96" fillId="0" borderId="12" xfId="603" applyNumberFormat="1" applyFont="1" applyBorder="1" applyAlignment="1">
      <alignment horizontal="center"/>
    </xf>
    <xf numFmtId="10" fontId="27" fillId="0" borderId="12" xfId="603" applyNumberFormat="1" applyFont="1" applyBorder="1" applyAlignment="1">
      <alignment horizontal="center"/>
    </xf>
    <xf numFmtId="10" fontId="96" fillId="0" borderId="12" xfId="521" applyNumberFormat="1" applyFont="1" applyFill="1" applyBorder="1" applyAlignment="1">
      <alignment horizontal="center"/>
    </xf>
    <xf numFmtId="0" fontId="96" fillId="0" borderId="0" xfId="319" applyFont="1" applyAlignment="1">
      <alignment vertical="center"/>
    </xf>
    <xf numFmtId="0" fontId="190" fillId="0" borderId="0" xfId="319" applyFont="1" applyAlignment="1">
      <alignment vertical="center"/>
    </xf>
    <xf numFmtId="0" fontId="174" fillId="0" borderId="0" xfId="319" applyFont="1" applyAlignment="1">
      <alignment vertical="center"/>
    </xf>
    <xf numFmtId="174" fontId="174" fillId="0" borderId="0" xfId="0" applyFont="1" applyAlignment="1">
      <alignment horizontal="center"/>
    </xf>
    <xf numFmtId="174" fontId="174" fillId="0" borderId="0" xfId="0" applyFont="1"/>
    <xf numFmtId="3" fontId="174" fillId="0" borderId="0" xfId="0" applyNumberFormat="1" applyFont="1"/>
    <xf numFmtId="0" fontId="202" fillId="25" borderId="26" xfId="0" applyNumberFormat="1" applyFont="1" applyFill="1" applyBorder="1" applyAlignment="1">
      <alignment horizontal="center" vertical="top"/>
    </xf>
    <xf numFmtId="43" fontId="210" fillId="25" borderId="0" xfId="294" applyFont="1" applyFill="1" applyBorder="1" applyAlignment="1">
      <alignment vertical="center"/>
    </xf>
    <xf numFmtId="174" fontId="190" fillId="0" borderId="34" xfId="362" applyFont="1" applyBorder="1" applyAlignment="1">
      <alignment horizontal="left" vertical="center"/>
    </xf>
    <xf numFmtId="174" fontId="190" fillId="0" borderId="15" xfId="362" applyFont="1" applyBorder="1" applyAlignment="1">
      <alignment horizontal="left" vertical="center"/>
    </xf>
    <xf numFmtId="174" fontId="190" fillId="0" borderId="13" xfId="362" applyFont="1" applyBorder="1" applyAlignment="1">
      <alignment horizontal="left" vertical="center"/>
    </xf>
    <xf numFmtId="174" fontId="190" fillId="0" borderId="15" xfId="362" applyFont="1" applyBorder="1" applyAlignment="1">
      <alignment horizontal="left" vertical="center" wrapText="1"/>
    </xf>
    <xf numFmtId="41" fontId="191" fillId="0" borderId="12" xfId="294" applyNumberFormat="1" applyFont="1" applyFill="1" applyBorder="1" applyAlignment="1">
      <alignment horizontal="right" vertical="top"/>
    </xf>
    <xf numFmtId="3" fontId="211" fillId="0" borderId="12" xfId="294" applyNumberFormat="1" applyFont="1" applyFill="1" applyBorder="1" applyAlignment="1">
      <alignment horizontal="right" vertical="top"/>
    </xf>
    <xf numFmtId="41" fontId="211" fillId="0" borderId="12" xfId="294" applyNumberFormat="1" applyFont="1" applyFill="1" applyBorder="1" applyAlignment="1">
      <alignment horizontal="right" vertical="top"/>
    </xf>
    <xf numFmtId="3" fontId="211" fillId="0" borderId="23" xfId="294" applyNumberFormat="1" applyFont="1" applyFill="1" applyBorder="1" applyAlignment="1">
      <alignment horizontal="right" vertical="top"/>
    </xf>
    <xf numFmtId="41" fontId="191" fillId="0" borderId="12" xfId="0" applyNumberFormat="1" applyFont="1" applyBorder="1" applyAlignment="1">
      <alignment horizontal="right" vertical="top"/>
    </xf>
    <xf numFmtId="174" fontId="207" fillId="70" borderId="16" xfId="0" applyFont="1" applyFill="1" applyBorder="1" applyAlignment="1">
      <alignment horizontal="center" vertical="center"/>
    </xf>
    <xf numFmtId="174" fontId="207" fillId="70" borderId="13" xfId="0" applyFont="1" applyFill="1" applyBorder="1" applyAlignment="1">
      <alignment horizontal="center" vertical="center" wrapText="1"/>
    </xf>
    <xf numFmtId="174" fontId="207" fillId="61" borderId="13" xfId="0" applyFont="1" applyFill="1" applyBorder="1" applyAlignment="1">
      <alignment horizontal="center" vertical="center" wrapText="1"/>
    </xf>
    <xf numFmtId="174" fontId="207" fillId="61" borderId="14" xfId="0" applyFont="1" applyFill="1" applyBorder="1" applyAlignment="1">
      <alignment horizontal="center" vertical="center" wrapText="1"/>
    </xf>
    <xf numFmtId="0" fontId="213" fillId="70" borderId="16" xfId="712" applyFont="1" applyFill="1" applyBorder="1" applyAlignment="1">
      <alignment horizontal="center" vertical="center"/>
    </xf>
    <xf numFmtId="0" fontId="213" fillId="70" borderId="13" xfId="712" applyFont="1" applyFill="1" applyBorder="1" applyAlignment="1">
      <alignment horizontal="center" vertical="center"/>
    </xf>
    <xf numFmtId="0" fontId="213" fillId="70" borderId="13" xfId="712" applyFont="1" applyFill="1" applyBorder="1" applyAlignment="1">
      <alignment horizontal="center" vertical="center" wrapText="1"/>
    </xf>
    <xf numFmtId="0" fontId="213" fillId="70" borderId="14" xfId="712" applyFont="1" applyFill="1" applyBorder="1" applyAlignment="1">
      <alignment horizontal="center" vertical="center"/>
    </xf>
    <xf numFmtId="17" fontId="207" fillId="70" borderId="26" xfId="294" applyNumberFormat="1" applyFont="1" applyFill="1" applyBorder="1" applyAlignment="1">
      <alignment horizontal="center" vertical="center"/>
    </xf>
    <xf numFmtId="40" fontId="207" fillId="70" borderId="34" xfId="294" applyNumberFormat="1" applyFont="1" applyFill="1" applyBorder="1" applyAlignment="1">
      <alignment horizontal="right" vertical="center"/>
    </xf>
    <xf numFmtId="40" fontId="207" fillId="61" borderId="34" xfId="294" applyNumberFormat="1" applyFont="1" applyFill="1" applyBorder="1" applyAlignment="1">
      <alignment horizontal="right" vertical="center"/>
    </xf>
    <xf numFmtId="40" fontId="207" fillId="61" borderId="25" xfId="294" applyNumberFormat="1" applyFont="1" applyFill="1" applyBorder="1" applyAlignment="1">
      <alignment horizontal="right" vertical="center"/>
    </xf>
    <xf numFmtId="174" fontId="66" fillId="70" borderId="16" xfId="417" applyFont="1" applyFill="1" applyBorder="1" applyAlignment="1">
      <alignment horizontal="center" vertical="center"/>
    </xf>
    <xf numFmtId="174" fontId="66" fillId="70" borderId="13" xfId="417" applyFont="1" applyFill="1" applyBorder="1" applyAlignment="1">
      <alignment horizontal="center" vertical="center" wrapText="1"/>
    </xf>
    <xf numFmtId="174" fontId="66" fillId="70" borderId="14" xfId="417" applyFont="1" applyFill="1" applyBorder="1" applyAlignment="1">
      <alignment horizontal="center" vertical="center" wrapText="1"/>
    </xf>
    <xf numFmtId="174" fontId="148" fillId="70" borderId="13" xfId="0" applyFont="1" applyFill="1" applyBorder="1" applyAlignment="1">
      <alignment horizontal="center" vertical="center" wrapText="1"/>
    </xf>
    <xf numFmtId="168" fontId="96" fillId="0" borderId="12" xfId="294" applyNumberFormat="1" applyFont="1" applyFill="1" applyBorder="1"/>
    <xf numFmtId="168" fontId="148" fillId="70" borderId="34" xfId="294" applyNumberFormat="1" applyFont="1" applyFill="1" applyBorder="1" applyAlignment="1">
      <alignment vertical="center"/>
    </xf>
    <xf numFmtId="171" fontId="177" fillId="0" borderId="0" xfId="521" applyNumberFormat="1" applyFont="1" applyFill="1" applyBorder="1"/>
    <xf numFmtId="43" fontId="177" fillId="0" borderId="0" xfId="0" applyNumberFormat="1" applyFont="1"/>
    <xf numFmtId="196" fontId="54" fillId="0" borderId="0" xfId="0" applyNumberFormat="1" applyFont="1"/>
    <xf numFmtId="3" fontId="287" fillId="0" borderId="0" xfId="0" applyNumberFormat="1" applyFont="1" applyAlignment="1">
      <alignment horizontal="center"/>
    </xf>
    <xf numFmtId="43" fontId="174"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6" fillId="25" borderId="25" xfId="294" applyNumberFormat="1" applyFont="1" applyFill="1" applyBorder="1" applyAlignment="1">
      <alignment horizontal="right" vertical="center"/>
    </xf>
    <xf numFmtId="1" fontId="122" fillId="59" borderId="32" xfId="2466" applyNumberFormat="1" applyFont="1" applyFill="1" applyBorder="1" applyAlignment="1">
      <alignment horizontal="center" vertical="center" wrapText="1"/>
    </xf>
    <xf numFmtId="1" fontId="122" fillId="25" borderId="0" xfId="2466" applyNumberFormat="1" applyFont="1" applyFill="1" applyAlignment="1">
      <alignment horizontal="center" vertical="center" wrapText="1"/>
    </xf>
    <xf numFmtId="179" fontId="65"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211" fillId="0" borderId="0" xfId="307" applyFont="1" applyFill="1" applyAlignment="1">
      <alignment horizontal="left" vertical="center"/>
    </xf>
    <xf numFmtId="174" fontId="191" fillId="0" borderId="0" xfId="362" applyFont="1"/>
    <xf numFmtId="174" fontId="66" fillId="0" borderId="31" xfId="0" applyFont="1" applyBorder="1" applyAlignment="1">
      <alignment horizontal="center" vertical="top" wrapText="1"/>
    </xf>
    <xf numFmtId="174" fontId="96" fillId="25" borderId="31" xfId="0" applyFont="1" applyFill="1" applyBorder="1" applyAlignment="1">
      <alignment horizontal="center" vertical="center" wrapText="1"/>
    </xf>
    <xf numFmtId="10" fontId="123" fillId="0" borderId="12" xfId="521" applyNumberFormat="1" applyFont="1" applyFill="1" applyBorder="1" applyAlignment="1">
      <alignment horizontal="center" vertical="center"/>
    </xf>
    <xf numFmtId="171" fontId="123" fillId="0" borderId="12" xfId="521" applyNumberFormat="1" applyFont="1" applyFill="1" applyBorder="1" applyAlignment="1">
      <alignment horizontal="center" vertical="center"/>
    </xf>
    <xf numFmtId="41" fontId="114" fillId="0" borderId="0" xfId="2466" applyNumberFormat="1" applyFont="1" applyAlignment="1">
      <alignment horizontal="center" vertical="center"/>
    </xf>
    <xf numFmtId="0" fontId="0" fillId="68" borderId="0" xfId="2582" applyFont="1" applyFill="1" applyAlignment="1">
      <alignment horizontal="left"/>
    </xf>
    <xf numFmtId="190" fontId="0" fillId="68" borderId="0" xfId="2582" applyNumberFormat="1" applyFont="1" applyFill="1" applyAlignment="1">
      <alignment horizontal="left"/>
    </xf>
    <xf numFmtId="190" fontId="0" fillId="68" borderId="0" xfId="294" applyNumberFormat="1" applyFont="1" applyFill="1" applyBorder="1" applyAlignment="1">
      <alignment horizontal="center"/>
    </xf>
    <xf numFmtId="4" fontId="96" fillId="0" borderId="12" xfId="0" applyNumberFormat="1" applyFont="1" applyBorder="1" applyAlignment="1">
      <alignment horizontal="right"/>
    </xf>
    <xf numFmtId="174" fontId="179" fillId="0" borderId="0" xfId="0" applyFont="1" applyAlignment="1">
      <alignment horizontal="right" indent="2"/>
    </xf>
    <xf numFmtId="179" fontId="189" fillId="0" borderId="0" xfId="0" applyNumberFormat="1" applyFont="1" applyAlignment="1">
      <alignment vertical="center"/>
    </xf>
    <xf numFmtId="174" fontId="179" fillId="0" borderId="0" xfId="0" applyFont="1" applyAlignment="1">
      <alignment horizontal="right" vertical="center" indent="2"/>
    </xf>
    <xf numFmtId="181" fontId="292" fillId="0" borderId="0" xfId="0" applyNumberFormat="1" applyFont="1" applyAlignment="1">
      <alignment horizontal="right" vertical="center" indent="2"/>
    </xf>
    <xf numFmtId="179" fontId="292" fillId="0" borderId="0" xfId="0" applyNumberFormat="1" applyFont="1" applyAlignment="1">
      <alignment vertical="center"/>
    </xf>
    <xf numFmtId="181" fontId="293" fillId="0" borderId="0" xfId="0" applyNumberFormat="1" applyFont="1" applyAlignment="1">
      <alignment horizontal="right" vertical="center" indent="2"/>
    </xf>
    <xf numFmtId="198" fontId="188" fillId="0" borderId="12" xfId="0" applyNumberFormat="1" applyFont="1" applyBorder="1" applyAlignment="1">
      <alignment horizontal="center" vertical="center"/>
    </xf>
    <xf numFmtId="179" fontId="292" fillId="0" borderId="12" xfId="0" applyNumberFormat="1" applyFont="1" applyBorder="1" applyAlignment="1">
      <alignment vertical="center"/>
    </xf>
    <xf numFmtId="171" fontId="293" fillId="0" borderId="12" xfId="521" applyNumberFormat="1" applyFont="1" applyBorder="1" applyAlignment="1">
      <alignment horizontal="right" vertical="center" indent="2"/>
    </xf>
    <xf numFmtId="174" fontId="294" fillId="0" borderId="0" xfId="0" applyFont="1" applyAlignment="1">
      <alignment horizontal="right" vertical="center" indent="2"/>
    </xf>
    <xf numFmtId="185" fontId="294" fillId="0" borderId="0" xfId="0" applyNumberFormat="1" applyFont="1" applyAlignment="1">
      <alignment horizontal="right" vertical="center" indent="2"/>
    </xf>
    <xf numFmtId="174" fontId="189" fillId="0" borderId="0" xfId="0" applyFont="1" applyAlignment="1">
      <alignment horizontal="right" indent="2"/>
    </xf>
    <xf numFmtId="171" fontId="189" fillId="0" borderId="0" xfId="0" applyNumberFormat="1" applyFont="1" applyAlignment="1">
      <alignment horizontal="right" indent="2"/>
    </xf>
    <xf numFmtId="178" fontId="179" fillId="0" borderId="0" xfId="0" applyNumberFormat="1" applyFont="1" applyAlignment="1">
      <alignment horizontal="right" indent="2"/>
    </xf>
    <xf numFmtId="10" fontId="179" fillId="0" borderId="0" xfId="521" applyNumberFormat="1" applyFont="1" applyAlignment="1">
      <alignment horizontal="right" indent="2"/>
    </xf>
    <xf numFmtId="43" fontId="179" fillId="0" borderId="0" xfId="0" applyNumberFormat="1" applyFont="1" applyAlignment="1">
      <alignment horizontal="right" indent="2"/>
    </xf>
    <xf numFmtId="9" fontId="189" fillId="0" borderId="0" xfId="521" applyFont="1" applyAlignment="1">
      <alignment horizontal="right" indent="2"/>
    </xf>
    <xf numFmtId="9" fontId="179" fillId="0" borderId="0" xfId="521" applyFont="1" applyAlignment="1">
      <alignment horizontal="right" indent="2"/>
    </xf>
    <xf numFmtId="171" fontId="179" fillId="0" borderId="0" xfId="521" applyNumberFormat="1" applyFont="1" applyAlignment="1">
      <alignment horizontal="right" indent="2"/>
    </xf>
    <xf numFmtId="174" fontId="179" fillId="0" borderId="12" xfId="0" applyFont="1" applyBorder="1" applyAlignment="1">
      <alignment vertical="center"/>
    </xf>
    <xf numFmtId="171" fontId="179" fillId="0" borderId="12" xfId="521" applyNumberFormat="1" applyFont="1" applyBorder="1" applyAlignment="1">
      <alignment horizontal="right" indent="2"/>
    </xf>
    <xf numFmtId="10" fontId="78" fillId="0" borderId="0" xfId="521" applyNumberFormat="1" applyFont="1"/>
    <xf numFmtId="43" fontId="61" fillId="25" borderId="12" xfId="0" applyNumberFormat="1" applyFont="1" applyFill="1" applyBorder="1" applyAlignment="1">
      <alignment horizontal="center" vertical="center"/>
    </xf>
    <xf numFmtId="10" fontId="60" fillId="25" borderId="12" xfId="0" applyNumberFormat="1" applyFont="1" applyFill="1" applyBorder="1" applyAlignment="1">
      <alignment horizontal="center" vertical="center"/>
    </xf>
    <xf numFmtId="43" fontId="61" fillId="25" borderId="12" xfId="294" applyFont="1" applyFill="1" applyBorder="1" applyAlignment="1">
      <alignment horizontal="center" vertical="center"/>
    </xf>
    <xf numFmtId="171" fontId="177" fillId="0" borderId="12" xfId="0" applyNumberFormat="1" applyFont="1" applyBorder="1" applyAlignment="1">
      <alignment horizontal="right"/>
    </xf>
    <xf numFmtId="171" fontId="177" fillId="0" borderId="23" xfId="0" applyNumberFormat="1" applyFont="1" applyBorder="1" applyAlignment="1">
      <alignment horizontal="right"/>
    </xf>
    <xf numFmtId="174" fontId="188" fillId="71" borderId="26" xfId="0" applyFont="1" applyFill="1" applyBorder="1" applyAlignment="1">
      <alignment horizontal="center" vertical="top"/>
    </xf>
    <xf numFmtId="3" fontId="188" fillId="71" borderId="34" xfId="294" applyNumberFormat="1" applyFont="1" applyFill="1" applyBorder="1" applyAlignment="1">
      <alignment horizontal="right" vertical="top"/>
    </xf>
    <xf numFmtId="3" fontId="188" fillId="71" borderId="25" xfId="294" applyNumberFormat="1" applyFont="1" applyFill="1" applyBorder="1" applyAlignment="1">
      <alignment horizontal="right" vertical="top"/>
    </xf>
    <xf numFmtId="41" fontId="191" fillId="25" borderId="12" xfId="294" applyNumberFormat="1" applyFont="1" applyFill="1" applyBorder="1" applyAlignment="1">
      <alignment horizontal="right" vertical="top"/>
    </xf>
    <xf numFmtId="3" fontId="211" fillId="25" borderId="12" xfId="294" applyNumberFormat="1" applyFont="1" applyFill="1" applyBorder="1" applyAlignment="1">
      <alignment horizontal="right" vertical="top"/>
    </xf>
    <xf numFmtId="41" fontId="211" fillId="25" borderId="12" xfId="294" applyNumberFormat="1" applyFont="1" applyFill="1" applyBorder="1" applyAlignment="1">
      <alignment horizontal="right" vertical="top"/>
    </xf>
    <xf numFmtId="3" fontId="211" fillId="25" borderId="23" xfId="294" applyNumberFormat="1" applyFont="1" applyFill="1" applyBorder="1" applyAlignment="1">
      <alignment horizontal="right" vertical="top"/>
    </xf>
    <xf numFmtId="168" fontId="208" fillId="0" borderId="12" xfId="294" applyNumberFormat="1" applyFont="1" applyBorder="1" applyAlignment="1">
      <alignment horizontal="center" vertical="center" wrapText="1"/>
    </xf>
    <xf numFmtId="168" fontId="208" fillId="0" borderId="12" xfId="294" applyNumberFormat="1" applyFont="1" applyBorder="1"/>
    <xf numFmtId="168" fontId="208" fillId="0" borderId="12" xfId="294" applyNumberFormat="1" applyFont="1" applyBorder="1" applyAlignment="1">
      <alignment vertical="center" wrapText="1"/>
    </xf>
    <xf numFmtId="171" fontId="208" fillId="0" borderId="12" xfId="521" applyNumberFormat="1" applyFont="1" applyBorder="1" applyAlignment="1">
      <alignment vertical="center" wrapText="1"/>
    </xf>
    <xf numFmtId="168" fontId="208" fillId="0" borderId="12" xfId="294" applyNumberFormat="1" applyFont="1" applyBorder="1" applyAlignment="1">
      <alignment horizontal="center" vertical="center"/>
    </xf>
    <xf numFmtId="171" fontId="208" fillId="0" borderId="12" xfId="521" applyNumberFormat="1" applyFont="1" applyBorder="1" applyAlignment="1">
      <alignment horizontal="center" vertical="center"/>
    </xf>
    <xf numFmtId="174" fontId="39" fillId="0" borderId="0" xfId="0" applyFont="1" applyAlignment="1">
      <alignment horizontal="center" vertical="center" wrapText="1"/>
    </xf>
    <xf numFmtId="168" fontId="95"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5" fillId="0" borderId="12" xfId="294" applyNumberFormat="1" applyFont="1" applyBorder="1" applyAlignment="1">
      <alignment horizontal="center" vertical="top"/>
    </xf>
    <xf numFmtId="171" fontId="95" fillId="0" borderId="12" xfId="521" applyNumberFormat="1" applyFont="1" applyBorder="1" applyAlignment="1">
      <alignment horizontal="center" vertical="top"/>
    </xf>
    <xf numFmtId="171" fontId="95" fillId="0" borderId="23" xfId="521" applyNumberFormat="1" applyFont="1" applyBorder="1" applyAlignment="1">
      <alignment horizontal="center" vertical="top"/>
    </xf>
    <xf numFmtId="10" fontId="95" fillId="0" borderId="0" xfId="521" applyNumberFormat="1" applyFont="1" applyBorder="1" applyAlignment="1">
      <alignment horizontal="center" vertical="top"/>
    </xf>
    <xf numFmtId="174" fontId="0" fillId="0" borderId="0" xfId="0" applyAlignment="1">
      <alignment horizontal="left" vertical="top"/>
    </xf>
    <xf numFmtId="168" fontId="95"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5" fillId="25" borderId="34" xfId="294" applyNumberFormat="1" applyFont="1" applyFill="1" applyBorder="1" applyAlignment="1">
      <alignment horizontal="center" vertical="top"/>
    </xf>
    <xf numFmtId="171" fontId="95" fillId="25" borderId="12" xfId="521" applyNumberFormat="1" applyFont="1" applyFill="1" applyBorder="1" applyAlignment="1">
      <alignment horizontal="center" vertical="top"/>
    </xf>
    <xf numFmtId="171" fontId="95" fillId="25" borderId="23" xfId="521" applyNumberFormat="1" applyFont="1" applyFill="1" applyBorder="1" applyAlignment="1">
      <alignment horizontal="center" vertical="top"/>
    </xf>
    <xf numFmtId="10" fontId="95"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174" fontId="297" fillId="0" borderId="0" xfId="0" applyFont="1"/>
    <xf numFmtId="174" fontId="297" fillId="0" borderId="0" xfId="0" applyFont="1" applyAlignment="1">
      <alignment vertical="top" readingOrder="1"/>
    </xf>
    <xf numFmtId="174" fontId="298" fillId="29" borderId="55" xfId="0" applyFont="1" applyFill="1" applyBorder="1" applyAlignment="1">
      <alignment horizontal="center" vertical="center" wrapText="1"/>
    </xf>
    <xf numFmtId="4" fontId="299" fillId="29" borderId="46" xfId="0" applyNumberFormat="1" applyFont="1" applyFill="1" applyBorder="1" applyAlignment="1">
      <alignment horizontal="center" vertical="center" wrapText="1"/>
    </xf>
    <xf numFmtId="4" fontId="300" fillId="29" borderId="46" xfId="0" applyNumberFormat="1" applyFont="1" applyFill="1" applyBorder="1" applyAlignment="1">
      <alignment horizontal="center" vertical="center" wrapText="1"/>
    </xf>
    <xf numFmtId="4" fontId="300" fillId="27" borderId="46" xfId="0" applyNumberFormat="1" applyFont="1" applyFill="1" applyBorder="1" applyAlignment="1">
      <alignment horizontal="center" vertical="center" wrapText="1"/>
    </xf>
    <xf numFmtId="41" fontId="120"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5" fillId="25" borderId="34" xfId="299" applyNumberFormat="1" applyFont="1" applyFill="1" applyBorder="1" applyAlignment="1">
      <alignment horizontal="center" vertical="top"/>
    </xf>
    <xf numFmtId="168" fontId="73" fillId="0" borderId="12" xfId="0" applyNumberFormat="1" applyFont="1" applyBorder="1" applyAlignment="1">
      <alignment horizontal="center" vertical="center" wrapText="1"/>
    </xf>
    <xf numFmtId="3" fontId="255" fillId="25" borderId="12" xfId="0" applyNumberFormat="1" applyFont="1" applyFill="1" applyBorder="1" applyAlignment="1">
      <alignment horizontal="center" vertical="center"/>
    </xf>
    <xf numFmtId="0" fontId="211" fillId="25" borderId="32" xfId="0" applyNumberFormat="1" applyFont="1" applyFill="1" applyBorder="1" applyAlignment="1">
      <alignment horizontal="center" vertical="center"/>
    </xf>
    <xf numFmtId="43" fontId="174" fillId="0" borderId="12" xfId="0" applyNumberFormat="1" applyFont="1" applyBorder="1" applyAlignment="1">
      <alignment horizontal="right" vertical="center"/>
    </xf>
    <xf numFmtId="10" fontId="50" fillId="0" borderId="0" xfId="419" applyNumberFormat="1" applyFont="1" applyAlignment="1">
      <alignment horizontal="center" vertical="center"/>
    </xf>
    <xf numFmtId="179" fontId="27" fillId="0" borderId="12" xfId="0" applyNumberFormat="1" applyFont="1" applyBorder="1" applyAlignment="1">
      <alignment horizontal="center"/>
    </xf>
    <xf numFmtId="174" fontId="64" fillId="70" borderId="0" xfId="0" applyFont="1" applyFill="1" applyAlignment="1">
      <alignment vertical="center" wrapText="1"/>
    </xf>
    <xf numFmtId="174" fontId="204" fillId="70" borderId="26" xfId="0" applyFont="1" applyFill="1" applyBorder="1" applyAlignment="1">
      <alignment horizontal="center"/>
    </xf>
    <xf numFmtId="174" fontId="301" fillId="72" borderId="72" xfId="0" applyFont="1" applyFill="1" applyBorder="1" applyAlignment="1">
      <alignment horizontal="center" vertical="center" wrapText="1"/>
    </xf>
    <xf numFmtId="174" fontId="302" fillId="72" borderId="74" xfId="0" applyFont="1" applyFill="1" applyBorder="1" applyAlignment="1">
      <alignment vertical="center" wrapText="1"/>
    </xf>
    <xf numFmtId="174" fontId="302" fillId="72" borderId="70" xfId="0" applyFont="1" applyFill="1" applyBorder="1" applyAlignment="1">
      <alignment vertical="center" wrapText="1"/>
    </xf>
    <xf numFmtId="174" fontId="45" fillId="0" borderId="0" xfId="0" applyFont="1" applyAlignment="1">
      <alignment vertical="center"/>
    </xf>
    <xf numFmtId="168" fontId="202" fillId="25" borderId="12" xfId="0" applyNumberFormat="1" applyFont="1" applyFill="1" applyBorder="1" applyAlignment="1">
      <alignment horizontal="center" vertical="top"/>
    </xf>
    <xf numFmtId="168" fontId="202" fillId="25" borderId="12" xfId="294" applyNumberFormat="1" applyFont="1" applyFill="1" applyBorder="1" applyAlignment="1">
      <alignment horizontal="right" vertical="top"/>
    </xf>
    <xf numFmtId="41" fontId="202" fillId="25" borderId="23" xfId="0" applyNumberFormat="1" applyFont="1" applyFill="1" applyBorder="1" applyAlignment="1">
      <alignment horizontal="center" vertical="top"/>
    </xf>
    <xf numFmtId="38" fontId="210" fillId="25" borderId="12" xfId="294" applyNumberFormat="1" applyFont="1" applyFill="1" applyBorder="1" applyAlignment="1">
      <alignment horizontal="center" vertical="center"/>
    </xf>
    <xf numFmtId="38" fontId="190" fillId="25" borderId="12" xfId="0" applyNumberFormat="1" applyFont="1" applyFill="1" applyBorder="1" applyAlignment="1">
      <alignment horizontal="center" wrapText="1"/>
    </xf>
    <xf numFmtId="0" fontId="190" fillId="25" borderId="12" xfId="0" applyNumberFormat="1" applyFont="1" applyFill="1" applyBorder="1" applyAlignment="1">
      <alignment horizontal="center" vertical="center"/>
    </xf>
    <xf numFmtId="174" fontId="303" fillId="0" borderId="0" xfId="0" applyFont="1" applyAlignment="1">
      <alignment vertical="center" wrapText="1" readingOrder="1"/>
    </xf>
    <xf numFmtId="0" fontId="207" fillId="70" borderId="16" xfId="0" applyNumberFormat="1" applyFont="1" applyFill="1" applyBorder="1" applyAlignment="1">
      <alignment horizontal="center" vertical="center"/>
    </xf>
    <xf numFmtId="43" fontId="207" fillId="70" borderId="13" xfId="0" applyNumberFormat="1" applyFont="1" applyFill="1" applyBorder="1" applyAlignment="1">
      <alignment horizontal="center" vertical="center" wrapText="1"/>
    </xf>
    <xf numFmtId="0" fontId="190" fillId="0" borderId="32" xfId="0" applyNumberFormat="1" applyFont="1" applyBorder="1" applyAlignment="1">
      <alignment horizontal="center" vertical="center"/>
    </xf>
    <xf numFmtId="40" fontId="210" fillId="0" borderId="12" xfId="306" applyNumberFormat="1" applyFont="1" applyFill="1" applyBorder="1" applyAlignment="1">
      <alignment vertical="center"/>
    </xf>
    <xf numFmtId="40" fontId="210" fillId="0" borderId="12" xfId="0" applyNumberFormat="1" applyFont="1" applyBorder="1" applyAlignment="1">
      <alignment vertical="center"/>
    </xf>
    <xf numFmtId="0" fontId="190" fillId="0" borderId="26" xfId="0" applyNumberFormat="1" applyFont="1" applyBorder="1" applyAlignment="1">
      <alignment horizontal="center" vertical="center"/>
    </xf>
    <xf numFmtId="43" fontId="190" fillId="0" borderId="34" xfId="0" applyNumberFormat="1" applyFont="1" applyBorder="1" applyAlignment="1">
      <alignment vertical="center"/>
    </xf>
    <xf numFmtId="3" fontId="91" fillId="25" borderId="0" xfId="0" applyNumberFormat="1" applyFont="1" applyFill="1" applyAlignment="1">
      <alignment horizontal="left" vertical="top" indent="1"/>
    </xf>
    <xf numFmtId="174" fontId="302" fillId="72" borderId="71" xfId="0" applyFont="1" applyFill="1" applyBorder="1" applyAlignment="1">
      <alignment vertical="center" wrapText="1"/>
    </xf>
    <xf numFmtId="174" fontId="301" fillId="72" borderId="73" xfId="0" applyFont="1" applyFill="1" applyBorder="1" applyAlignment="1">
      <alignment horizontal="center" vertical="center" wrapText="1"/>
    </xf>
    <xf numFmtId="174" fontId="301" fillId="72" borderId="77" xfId="0" applyFont="1" applyFill="1" applyBorder="1" applyAlignment="1">
      <alignment horizontal="center" vertical="center" wrapText="1"/>
    </xf>
    <xf numFmtId="174" fontId="302" fillId="72" borderId="78" xfId="0" applyFont="1" applyFill="1" applyBorder="1" applyAlignment="1">
      <alignment vertical="center" wrapText="1"/>
    </xf>
    <xf numFmtId="174" fontId="302" fillId="72" borderId="75" xfId="0" applyFont="1" applyFill="1" applyBorder="1" applyAlignment="1">
      <alignment vertical="center" wrapText="1"/>
    </xf>
    <xf numFmtId="174" fontId="302" fillId="72" borderId="76" xfId="0" applyFont="1" applyFill="1" applyBorder="1" applyAlignment="1">
      <alignment vertical="center" wrapText="1"/>
    </xf>
    <xf numFmtId="41" fontId="288" fillId="25" borderId="12" xfId="2466" applyNumberFormat="1" applyFont="1" applyFill="1" applyBorder="1" applyAlignment="1">
      <alignment horizontal="left" vertical="center" wrapText="1"/>
    </xf>
    <xf numFmtId="174" fontId="171" fillId="25" borderId="0" xfId="0" applyFont="1" applyFill="1" applyAlignment="1">
      <alignment horizontal="center" vertical="center" wrapText="1"/>
    </xf>
    <xf numFmtId="10" fontId="162" fillId="25" borderId="0" xfId="521" applyNumberFormat="1" applyFont="1" applyFill="1" applyAlignment="1">
      <alignment horizontal="center" vertical="center"/>
    </xf>
    <xf numFmtId="174" fontId="170" fillId="25" borderId="0" xfId="0" applyFont="1" applyFill="1"/>
    <xf numFmtId="171" fontId="260" fillId="25" borderId="0" xfId="521" applyNumberFormat="1" applyFont="1" applyFill="1" applyAlignment="1">
      <alignment horizontal="center" vertical="center"/>
    </xf>
    <xf numFmtId="174" fontId="169" fillId="25" borderId="0" xfId="0" applyFont="1" applyFill="1"/>
    <xf numFmtId="171" fontId="220" fillId="25" borderId="0" xfId="521" applyNumberFormat="1" applyFont="1" applyFill="1" applyAlignment="1">
      <alignment horizontal="center" vertical="center"/>
    </xf>
    <xf numFmtId="10" fontId="161" fillId="25" borderId="0" xfId="521" applyNumberFormat="1" applyFont="1" applyFill="1" applyAlignment="1">
      <alignment vertical="center"/>
    </xf>
    <xf numFmtId="10" fontId="160" fillId="25" borderId="0" xfId="521" applyNumberFormat="1" applyFont="1" applyFill="1" applyAlignment="1">
      <alignment vertical="center"/>
    </xf>
    <xf numFmtId="174" fontId="157" fillId="25" borderId="0" xfId="0" applyFont="1" applyFill="1"/>
    <xf numFmtId="10" fontId="162" fillId="25" borderId="0" xfId="521" applyNumberFormat="1" applyFont="1" applyFill="1" applyAlignment="1">
      <alignment vertical="center"/>
    </xf>
    <xf numFmtId="10" fontId="166" fillId="25" borderId="0" xfId="521" applyNumberFormat="1" applyFont="1" applyFill="1" applyBorder="1" applyAlignment="1">
      <alignment vertical="center"/>
    </xf>
    <xf numFmtId="174" fontId="223" fillId="25" borderId="0" xfId="0" applyFont="1" applyFill="1"/>
    <xf numFmtId="174" fontId="297" fillId="25" borderId="0" xfId="0" applyFont="1" applyFill="1"/>
    <xf numFmtId="174" fontId="163" fillId="25" borderId="0" xfId="0" applyFont="1" applyFill="1" applyAlignment="1">
      <alignment horizontal="center" vertical="center"/>
    </xf>
    <xf numFmtId="174" fontId="226" fillId="25" borderId="0" xfId="0" applyFont="1" applyFill="1" applyAlignment="1">
      <alignment horizontal="center" vertical="center"/>
    </xf>
    <xf numFmtId="174" fontId="297" fillId="25" borderId="0" xfId="0" applyFont="1" applyFill="1" applyAlignment="1">
      <alignment horizontal="center" vertical="center"/>
    </xf>
    <xf numFmtId="174" fontId="150" fillId="25" borderId="0" xfId="0" applyFont="1" applyFill="1"/>
    <xf numFmtId="174" fontId="166" fillId="25" borderId="0" xfId="0" applyFont="1" applyFill="1"/>
    <xf numFmtId="43" fontId="182" fillId="0" borderId="12" xfId="521" applyNumberFormat="1" applyFont="1" applyBorder="1" applyAlignment="1">
      <alignment vertical="center"/>
    </xf>
    <xf numFmtId="171" fontId="177" fillId="0" borderId="0" xfId="521" applyNumberFormat="1" applyFont="1" applyAlignment="1">
      <alignment horizontal="right"/>
    </xf>
    <xf numFmtId="174" fontId="148" fillId="70" borderId="12" xfId="362" applyFont="1" applyFill="1" applyBorder="1" applyAlignment="1">
      <alignment horizontal="center" vertical="center"/>
    </xf>
    <xf numFmtId="174" fontId="96" fillId="0" borderId="12" xfId="362" applyFont="1" applyBorder="1" applyAlignment="1">
      <alignment horizontal="left" vertical="center"/>
    </xf>
    <xf numFmtId="10" fontId="96" fillId="0" borderId="12" xfId="362" applyNumberFormat="1" applyFont="1" applyBorder="1" applyAlignment="1">
      <alignment horizontal="center" vertical="center"/>
    </xf>
    <xf numFmtId="4" fontId="182" fillId="0" borderId="0" xfId="0" applyNumberFormat="1" applyFont="1" applyAlignment="1">
      <alignment horizontal="right"/>
    </xf>
    <xf numFmtId="43" fontId="27" fillId="0" borderId="12" xfId="294" applyFont="1" applyFill="1" applyBorder="1" applyAlignment="1">
      <alignment vertical="center"/>
    </xf>
    <xf numFmtId="10" fontId="96" fillId="0" borderId="23" xfId="362" applyNumberFormat="1" applyFont="1" applyBorder="1" applyAlignment="1">
      <alignment horizontal="center" vertical="center"/>
    </xf>
    <xf numFmtId="174" fontId="50" fillId="25" borderId="31" xfId="419" applyFont="1" applyFill="1" applyBorder="1" applyAlignment="1">
      <alignment vertical="center"/>
    </xf>
    <xf numFmtId="169" fontId="36" fillId="25" borderId="15" xfId="294" applyNumberFormat="1" applyFont="1" applyFill="1" applyBorder="1" applyAlignment="1">
      <alignment vertical="center"/>
    </xf>
    <xf numFmtId="10" fontId="50" fillId="25" borderId="15" xfId="419" applyNumberFormat="1" applyFont="1" applyFill="1" applyBorder="1" applyAlignment="1">
      <alignment horizontal="center" vertical="center"/>
    </xf>
    <xf numFmtId="174" fontId="50" fillId="25" borderId="31" xfId="419" applyFont="1" applyFill="1" applyBorder="1" applyAlignment="1">
      <alignment vertical="center" wrapText="1"/>
    </xf>
    <xf numFmtId="10" fontId="50" fillId="25" borderId="31" xfId="419" applyNumberFormat="1" applyFont="1" applyFill="1" applyBorder="1" applyAlignment="1">
      <alignment horizontal="center" vertical="center"/>
    </xf>
    <xf numFmtId="169" fontId="50" fillId="25" borderId="34" xfId="294" applyNumberFormat="1" applyFont="1" applyFill="1" applyBorder="1" applyAlignment="1">
      <alignment vertical="center"/>
    </xf>
    <xf numFmtId="0" fontId="305" fillId="73" borderId="80" xfId="2548" applyFont="1" applyFill="1" applyBorder="1" applyAlignment="1">
      <alignment vertical="center" wrapText="1"/>
    </xf>
    <xf numFmtId="165" fontId="305" fillId="74" borderId="80" xfId="2548" applyNumberFormat="1" applyFont="1" applyFill="1" applyBorder="1" applyAlignment="1">
      <alignment vertical="center"/>
    </xf>
    <xf numFmtId="3" fontId="96" fillId="0" borderId="16" xfId="0" applyNumberFormat="1" applyFont="1" applyBorder="1"/>
    <xf numFmtId="4" fontId="148" fillId="60" borderId="26" xfId="0" applyNumberFormat="1" applyFont="1" applyFill="1" applyBorder="1" applyAlignment="1">
      <alignment horizontal="center" vertical="center" wrapText="1"/>
    </xf>
    <xf numFmtId="4" fontId="148" fillId="60" borderId="26" xfId="0" applyNumberFormat="1" applyFont="1" applyFill="1" applyBorder="1" applyAlignment="1">
      <alignment horizontal="right" vertical="center" wrapText="1"/>
    </xf>
    <xf numFmtId="4" fontId="114" fillId="0" borderId="0" xfId="2466" applyNumberFormat="1" applyFont="1" applyAlignment="1">
      <alignment horizontal="left" vertical="center"/>
    </xf>
    <xf numFmtId="43" fontId="189" fillId="0" borderId="0" xfId="0" applyNumberFormat="1" applyFont="1" applyAlignment="1">
      <alignment horizontal="right" indent="2"/>
    </xf>
    <xf numFmtId="0" fontId="188" fillId="70" borderId="11" xfId="889" applyFont="1" applyFill="1" applyBorder="1" applyAlignment="1">
      <alignment horizontal="center" vertical="center" wrapText="1"/>
    </xf>
    <xf numFmtId="0" fontId="211" fillId="0" borderId="79" xfId="889" applyFont="1" applyBorder="1" applyAlignment="1">
      <alignment horizontal="left" vertical="center"/>
    </xf>
    <xf numFmtId="0" fontId="157" fillId="0" borderId="0" xfId="889" applyFont="1" applyAlignment="1">
      <alignment vertical="center"/>
    </xf>
    <xf numFmtId="0" fontId="211" fillId="0" borderId="81" xfId="889" applyFont="1" applyBorder="1" applyAlignment="1">
      <alignment horizontal="left" vertical="center"/>
    </xf>
    <xf numFmtId="171" fontId="228" fillId="0" borderId="0" xfId="1093" applyNumberFormat="1" applyFont="1" applyAlignment="1">
      <alignment horizontal="center"/>
    </xf>
    <xf numFmtId="10" fontId="178" fillId="0" borderId="0" xfId="521" applyNumberFormat="1" applyFont="1"/>
    <xf numFmtId="43" fontId="181" fillId="0" borderId="0" xfId="294" applyFont="1"/>
    <xf numFmtId="43" fontId="178" fillId="0" borderId="0" xfId="0" applyNumberFormat="1" applyFont="1" applyAlignment="1">
      <alignment horizontal="center"/>
    </xf>
    <xf numFmtId="0" fontId="201" fillId="0" borderId="32" xfId="0" applyNumberFormat="1" applyFont="1" applyBorder="1" applyAlignment="1">
      <alignment horizontal="center" vertical="center"/>
    </xf>
    <xf numFmtId="168" fontId="188" fillId="70" borderId="12" xfId="294" applyNumberFormat="1" applyFont="1" applyFill="1" applyBorder="1" applyAlignment="1">
      <alignment vertical="center"/>
    </xf>
    <xf numFmtId="10" fontId="4" fillId="0" borderId="0" xfId="521" applyNumberFormat="1" applyFont="1" applyAlignment="1">
      <alignment horizontal="left"/>
    </xf>
    <xf numFmtId="0" fontId="64" fillId="57" borderId="12" xfId="2466" applyFont="1" applyFill="1" applyBorder="1" applyAlignment="1">
      <alignment horizontal="center" vertical="center"/>
    </xf>
    <xf numFmtId="41" fontId="69" fillId="57" borderId="12" xfId="2466" applyNumberFormat="1" applyFont="1" applyFill="1" applyBorder="1" applyAlignment="1">
      <alignment horizontal="center" vertical="center" wrapText="1"/>
    </xf>
    <xf numFmtId="0" fontId="64" fillId="57" borderId="12" xfId="2466" applyFont="1" applyFill="1" applyBorder="1" applyAlignment="1">
      <alignment horizontal="center" vertical="center" wrapText="1"/>
    </xf>
    <xf numFmtId="174" fontId="64" fillId="59" borderId="12" xfId="0" applyFont="1" applyFill="1" applyBorder="1" applyAlignment="1">
      <alignment horizontal="center" vertical="center" wrapText="1"/>
    </xf>
    <xf numFmtId="0" fontId="69" fillId="57" borderId="12" xfId="2466" applyFont="1" applyFill="1" applyBorder="1" applyAlignment="1">
      <alignment horizontal="center" vertical="center" wrapText="1"/>
    </xf>
    <xf numFmtId="174" fontId="156" fillId="60" borderId="0" xfId="0" applyFont="1" applyFill="1" applyAlignment="1">
      <alignment horizontal="center" wrapText="1"/>
    </xf>
    <xf numFmtId="174" fontId="156" fillId="60" borderId="0" xfId="0" applyFont="1" applyFill="1" applyAlignment="1">
      <alignment horizontal="center" vertical="center" wrapText="1"/>
    </xf>
    <xf numFmtId="0" fontId="182" fillId="0" borderId="0" xfId="889" applyFont="1" applyAlignment="1">
      <alignment horizontal="center"/>
    </xf>
    <xf numFmtId="41" fontId="123" fillId="25" borderId="12" xfId="2466" applyNumberFormat="1" applyFont="1" applyFill="1" applyBorder="1" applyAlignment="1">
      <alignment horizontal="center" vertical="center" wrapText="1"/>
    </xf>
    <xf numFmtId="0" fontId="122" fillId="75" borderId="12" xfId="2466" applyFont="1" applyFill="1" applyBorder="1" applyAlignment="1">
      <alignment horizontal="left" vertical="center" wrapText="1"/>
    </xf>
    <xf numFmtId="0" fontId="122" fillId="75" borderId="12" xfId="2466" applyFont="1" applyFill="1" applyBorder="1" applyAlignment="1">
      <alignment horizontal="center" vertical="center" wrapText="1"/>
    </xf>
    <xf numFmtId="0" fontId="122" fillId="61" borderId="12" xfId="2466" applyFont="1" applyFill="1" applyBorder="1" applyAlignment="1">
      <alignment horizontal="left" vertical="center" wrapText="1"/>
    </xf>
    <xf numFmtId="0" fontId="64" fillId="61" borderId="33" xfId="2466" applyFont="1" applyFill="1" applyBorder="1" applyAlignment="1">
      <alignment vertical="center"/>
    </xf>
    <xf numFmtId="0" fontId="122" fillId="59" borderId="12" xfId="2466" applyFont="1" applyFill="1" applyBorder="1" applyAlignment="1">
      <alignment horizontal="center" vertical="center" wrapText="1"/>
    </xf>
    <xf numFmtId="179" fontId="126" fillId="25" borderId="12" xfId="2466" applyNumberFormat="1" applyFont="1" applyFill="1" applyBorder="1" applyAlignment="1">
      <alignment horizontal="center" vertical="center" wrapText="1"/>
    </xf>
    <xf numFmtId="0" fontId="122" fillId="59" borderId="13" xfId="2466" applyFont="1" applyFill="1" applyBorder="1" applyAlignment="1">
      <alignment horizontal="center" vertical="center" wrapText="1"/>
    </xf>
    <xf numFmtId="179" fontId="123" fillId="27" borderId="12" xfId="2466" applyNumberFormat="1" applyFont="1" applyFill="1" applyBorder="1" applyAlignment="1">
      <alignment horizontal="center" vertical="center" wrapText="1"/>
    </xf>
    <xf numFmtId="179" fontId="126" fillId="67" borderId="12" xfId="2466" applyNumberFormat="1" applyFont="1" applyFill="1" applyBorder="1" applyAlignment="1">
      <alignment horizontal="center" vertical="center" wrapText="1"/>
    </xf>
    <xf numFmtId="179" fontId="122" fillId="59" borderId="12" xfId="2466" applyNumberFormat="1" applyFont="1" applyFill="1" applyBorder="1" applyAlignment="1">
      <alignment horizontal="center" vertical="center" wrapText="1"/>
    </xf>
    <xf numFmtId="179" fontId="126" fillId="65" borderId="12" xfId="2466" applyNumberFormat="1" applyFont="1" applyFill="1" applyBorder="1" applyAlignment="1">
      <alignment horizontal="center" vertical="center" wrapText="1"/>
    </xf>
    <xf numFmtId="179" fontId="282" fillId="59" borderId="12" xfId="2466" applyNumberFormat="1" applyFont="1" applyFill="1" applyBorder="1" applyAlignment="1">
      <alignment horizontal="center" vertical="center" wrapText="1"/>
    </xf>
    <xf numFmtId="174" fontId="227" fillId="0" borderId="0" xfId="0" applyFont="1" applyAlignment="1">
      <alignment horizontal="center" vertical="center" wrapText="1"/>
    </xf>
    <xf numFmtId="174" fontId="186" fillId="0" borderId="0" xfId="0" applyFont="1" applyAlignment="1">
      <alignment vertical="center"/>
    </xf>
    <xf numFmtId="168" fontId="205" fillId="0" borderId="12" xfId="294" applyNumberFormat="1" applyFont="1" applyBorder="1" applyAlignment="1">
      <alignment horizontal="right" vertical="top"/>
    </xf>
    <xf numFmtId="168" fontId="212" fillId="25" borderId="25" xfId="294" applyNumberFormat="1" applyFont="1" applyFill="1" applyBorder="1" applyAlignment="1">
      <alignment horizontal="right" vertical="top"/>
    </xf>
    <xf numFmtId="168" fontId="205" fillId="0" borderId="34" xfId="294" applyNumberFormat="1" applyFont="1" applyBorder="1" applyAlignment="1">
      <alignment horizontal="right" vertical="top"/>
    </xf>
    <xf numFmtId="174" fontId="276"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213" fillId="60" borderId="16" xfId="294" applyNumberFormat="1" applyFont="1" applyFill="1" applyBorder="1" applyAlignment="1">
      <alignment horizontal="center" vertical="center" wrapText="1"/>
    </xf>
    <xf numFmtId="168" fontId="213" fillId="60" borderId="13" xfId="294" applyNumberFormat="1" applyFont="1" applyFill="1" applyBorder="1" applyAlignment="1">
      <alignment horizontal="center" vertical="center" wrapText="1"/>
    </xf>
    <xf numFmtId="168" fontId="213" fillId="60" borderId="14" xfId="294" applyNumberFormat="1" applyFont="1" applyFill="1" applyBorder="1" applyAlignment="1">
      <alignment horizontal="center" vertical="center" wrapText="1"/>
    </xf>
    <xf numFmtId="43" fontId="186" fillId="0" borderId="0" xfId="294" applyFont="1"/>
    <xf numFmtId="174" fontId="178" fillId="0" borderId="12" xfId="0" applyFont="1" applyBorder="1"/>
    <xf numFmtId="174" fontId="308" fillId="0" borderId="12" xfId="0" applyFont="1" applyBorder="1" applyAlignment="1">
      <alignment horizontal="center" vertical="center" wrapText="1"/>
    </xf>
    <xf numFmtId="10" fontId="308" fillId="0" borderId="12" xfId="521" applyNumberFormat="1" applyFont="1" applyBorder="1" applyAlignment="1">
      <alignment horizontal="center" vertical="center"/>
    </xf>
    <xf numFmtId="3" fontId="187" fillId="25" borderId="12" xfId="299" applyNumberFormat="1" applyFont="1" applyFill="1" applyBorder="1" applyAlignment="1">
      <alignment horizontal="center" vertical="center" wrapText="1"/>
    </xf>
    <xf numFmtId="3" fontId="184" fillId="25" borderId="12" xfId="299" applyNumberFormat="1" applyFont="1" applyFill="1" applyBorder="1" applyAlignment="1">
      <alignment horizontal="center" vertical="center" wrapText="1"/>
    </xf>
    <xf numFmtId="171" fontId="114" fillId="0" borderId="0" xfId="521" applyNumberFormat="1" applyFont="1"/>
    <xf numFmtId="43" fontId="120" fillId="0" borderId="12" xfId="294" applyFont="1" applyBorder="1" applyAlignment="1">
      <alignment horizontal="center" vertical="center" wrapText="1"/>
    </xf>
    <xf numFmtId="178" fontId="114" fillId="0" borderId="0" xfId="0" applyNumberFormat="1" applyFont="1"/>
    <xf numFmtId="41" fontId="157" fillId="0" borderId="0" xfId="0" applyNumberFormat="1" applyFont="1" applyAlignment="1">
      <alignment horizontal="center"/>
    </xf>
    <xf numFmtId="9" fontId="186" fillId="0" borderId="0" xfId="521" applyFont="1" applyAlignment="1">
      <alignment horizontal="center"/>
    </xf>
    <xf numFmtId="171" fontId="157" fillId="0" borderId="0" xfId="521" applyNumberFormat="1" applyFont="1" applyAlignment="1">
      <alignment horizontal="center"/>
    </xf>
    <xf numFmtId="41" fontId="208" fillId="0" borderId="12" xfId="0" applyNumberFormat="1" applyFont="1" applyBorder="1" applyAlignment="1">
      <alignment horizontal="right" indent="1"/>
    </xf>
    <xf numFmtId="171" fontId="208" fillId="0" borderId="12" xfId="521" applyNumberFormat="1" applyFont="1" applyBorder="1"/>
    <xf numFmtId="171" fontId="307" fillId="0" borderId="12" xfId="521" applyNumberFormat="1" applyFont="1" applyBorder="1" applyAlignment="1">
      <alignment horizontal="right" indent="1"/>
    </xf>
    <xf numFmtId="174" fontId="157" fillId="0" borderId="0" xfId="0" applyFont="1" applyAlignment="1">
      <alignment horizontal="center" wrapText="1"/>
    </xf>
    <xf numFmtId="40" fontId="190" fillId="25" borderId="12" xfId="294" applyNumberFormat="1" applyFont="1" applyFill="1" applyBorder="1" applyAlignment="1">
      <alignment vertical="center"/>
    </xf>
    <xf numFmtId="40" fontId="190" fillId="25" borderId="23" xfId="294" applyNumberFormat="1" applyFont="1" applyFill="1" applyBorder="1" applyAlignment="1"/>
    <xf numFmtId="174" fontId="65" fillId="0" borderId="0" xfId="413" applyFont="1"/>
    <xf numFmtId="49" fontId="120" fillId="27" borderId="12" xfId="2466" applyNumberFormat="1" applyFont="1" applyFill="1" applyBorder="1" applyAlignment="1">
      <alignment horizontal="left" vertical="center"/>
    </xf>
    <xf numFmtId="49" fontId="120" fillId="63" borderId="12" xfId="2466" applyNumberFormat="1" applyFont="1" applyFill="1" applyBorder="1" applyAlignment="1">
      <alignment horizontal="left" vertical="center"/>
    </xf>
    <xf numFmtId="49" fontId="115" fillId="27" borderId="12" xfId="2466" applyNumberFormat="1" applyFont="1" applyFill="1" applyBorder="1" applyAlignment="1">
      <alignment horizontal="center" vertical="center"/>
    </xf>
    <xf numFmtId="49" fontId="114" fillId="27" borderId="12" xfId="2466" applyNumberFormat="1" applyFont="1" applyFill="1" applyBorder="1" applyAlignment="1">
      <alignment vertical="center"/>
    </xf>
    <xf numFmtId="49" fontId="120" fillId="27" borderId="12" xfId="2466" applyNumberFormat="1" applyFont="1" applyFill="1" applyBorder="1" applyAlignment="1">
      <alignment horizontal="left" vertical="center" wrapText="1"/>
    </xf>
    <xf numFmtId="49" fontId="120" fillId="25" borderId="12" xfId="2466" applyNumberFormat="1" applyFont="1" applyFill="1" applyBorder="1" applyAlignment="1">
      <alignment horizontal="left" vertical="center" wrapText="1"/>
    </xf>
    <xf numFmtId="43" fontId="43" fillId="0" borderId="0" xfId="549" applyNumberFormat="1" applyFont="1"/>
    <xf numFmtId="200" fontId="148" fillId="60" borderId="86" xfId="0" applyNumberFormat="1" applyFont="1" applyFill="1" applyBorder="1" applyAlignment="1">
      <alignment horizontal="center"/>
    </xf>
    <xf numFmtId="171" fontId="96" fillId="0" borderId="0" xfId="521" applyNumberFormat="1" applyFont="1" applyFill="1" applyAlignment="1" applyProtection="1">
      <alignment horizontal="center" vertical="center" wrapText="1"/>
    </xf>
    <xf numFmtId="171" fontId="148" fillId="60" borderId="26" xfId="521" applyNumberFormat="1" applyFont="1" applyFill="1" applyBorder="1" applyAlignment="1">
      <alignment horizontal="center" vertical="center" wrapText="1"/>
    </xf>
    <xf numFmtId="174" fontId="176" fillId="0" borderId="0" xfId="0" applyFont="1" applyAlignment="1">
      <alignment horizontal="right" vertical="top" wrapText="1"/>
    </xf>
    <xf numFmtId="10" fontId="231" fillId="0" borderId="0" xfId="521" applyNumberFormat="1" applyFont="1" applyAlignment="1">
      <alignment horizontal="right" vertical="center"/>
    </xf>
    <xf numFmtId="174" fontId="96" fillId="0" borderId="31" xfId="0" applyFont="1" applyBorder="1" applyAlignment="1">
      <alignment horizontal="center" vertical="center" wrapText="1"/>
    </xf>
    <xf numFmtId="41" fontId="96" fillId="0" borderId="0" xfId="0" applyNumberFormat="1" applyFont="1" applyAlignment="1">
      <alignment horizontal="center" vertical="center" wrapText="1"/>
    </xf>
    <xf numFmtId="174" fontId="200" fillId="0" borderId="0" xfId="0" applyFont="1"/>
    <xf numFmtId="41" fontId="200" fillId="0" borderId="0" xfId="0" applyNumberFormat="1" applyFont="1" applyAlignment="1">
      <alignment horizontal="center"/>
    </xf>
    <xf numFmtId="174" fontId="200" fillId="0" borderId="0" xfId="0" applyFont="1" applyAlignment="1">
      <alignment horizontal="center"/>
    </xf>
    <xf numFmtId="41" fontId="157" fillId="0" borderId="0" xfId="0" applyNumberFormat="1" applyFont="1" applyAlignment="1">
      <alignment horizontal="center" vertical="center"/>
    </xf>
    <xf numFmtId="41" fontId="200" fillId="0" borderId="0" xfId="0" applyNumberFormat="1" applyFont="1" applyAlignment="1">
      <alignment horizontal="center" vertical="center"/>
    </xf>
    <xf numFmtId="174" fontId="200" fillId="0" borderId="0" xfId="0" applyFont="1" applyAlignment="1">
      <alignment horizontal="center" vertical="center"/>
    </xf>
    <xf numFmtId="0" fontId="188" fillId="70" borderId="12" xfId="889" applyFont="1" applyFill="1" applyBorder="1" applyAlignment="1">
      <alignment horizontal="center" vertical="center" wrapText="1"/>
    </xf>
    <xf numFmtId="174" fontId="281" fillId="25" borderId="0" xfId="0" applyFont="1" applyFill="1" applyAlignment="1">
      <alignment wrapText="1"/>
    </xf>
    <xf numFmtId="43" fontId="184" fillId="0" borderId="12" xfId="294" applyFont="1" applyFill="1" applyBorder="1" applyAlignment="1">
      <alignment horizontal="center" vertical="center" wrapText="1"/>
    </xf>
    <xf numFmtId="43" fontId="184" fillId="0" borderId="23" xfId="294" applyFont="1" applyFill="1" applyBorder="1" applyAlignment="1">
      <alignment horizontal="center" vertical="center" wrapText="1"/>
    </xf>
    <xf numFmtId="168" fontId="142" fillId="60" borderId="16" xfId="294" applyNumberFormat="1" applyFont="1" applyFill="1" applyBorder="1" applyAlignment="1">
      <alignment horizontal="center" vertical="top" wrapText="1"/>
    </xf>
    <xf numFmtId="168" fontId="142" fillId="60" borderId="13" xfId="294" applyNumberFormat="1" applyFont="1" applyFill="1" applyBorder="1" applyAlignment="1">
      <alignment horizontal="center" vertical="top" wrapText="1"/>
    </xf>
    <xf numFmtId="168" fontId="143" fillId="60" borderId="13" xfId="294" applyNumberFormat="1" applyFont="1" applyFill="1" applyBorder="1" applyAlignment="1">
      <alignment horizontal="center" vertical="top" wrapText="1"/>
    </xf>
    <xf numFmtId="9" fontId="142" fillId="60" borderId="13" xfId="521" applyFont="1" applyFill="1" applyBorder="1" applyAlignment="1">
      <alignment horizontal="center" vertical="top" wrapText="1"/>
    </xf>
    <xf numFmtId="9" fontId="142" fillId="60" borderId="14" xfId="521" applyFont="1" applyFill="1" applyBorder="1" applyAlignment="1">
      <alignment horizontal="center" vertical="top" wrapText="1"/>
    </xf>
    <xf numFmtId="174" fontId="64" fillId="57" borderId="12" xfId="359" applyFont="1" applyFill="1" applyBorder="1" applyAlignment="1">
      <alignment horizontal="center" vertical="center" wrapText="1"/>
    </xf>
    <xf numFmtId="178" fontId="157" fillId="0" borderId="0" xfId="0" applyNumberFormat="1" applyFont="1" applyAlignment="1">
      <alignment horizontal="right"/>
    </xf>
    <xf numFmtId="174" fontId="4" fillId="0" borderId="26" xfId="0" applyFont="1" applyBorder="1" applyAlignment="1">
      <alignment vertical="top"/>
    </xf>
    <xf numFmtId="174" fontId="283" fillId="25" borderId="0" xfId="0" applyFont="1" applyFill="1" applyAlignment="1">
      <alignment horizontal="justify" vertical="top" wrapText="1"/>
    </xf>
    <xf numFmtId="174" fontId="230" fillId="25" borderId="0" xfId="0" applyFont="1" applyFill="1" applyAlignment="1">
      <alignment horizontal="justify" vertical="top" wrapText="1"/>
    </xf>
    <xf numFmtId="174" fontId="35" fillId="0" borderId="12" xfId="0" applyFont="1" applyBorder="1" applyAlignment="1">
      <alignment horizontal="center" vertical="center" wrapText="1"/>
    </xf>
    <xf numFmtId="174" fontId="302" fillId="72" borderId="87" xfId="0" applyFont="1" applyFill="1" applyBorder="1" applyAlignment="1">
      <alignment vertical="center" wrapText="1"/>
    </xf>
    <xf numFmtId="174" fontId="302" fillId="72" borderId="0" xfId="0" applyFont="1" applyFill="1" applyAlignment="1">
      <alignment vertical="center" wrapText="1"/>
    </xf>
    <xf numFmtId="174" fontId="302" fillId="72" borderId="88" xfId="0" applyFont="1" applyFill="1" applyBorder="1" applyAlignment="1">
      <alignment vertical="center" wrapText="1"/>
    </xf>
    <xf numFmtId="49" fontId="148" fillId="70" borderId="13" xfId="0" applyNumberFormat="1" applyFont="1" applyFill="1" applyBorder="1" applyAlignment="1">
      <alignment horizontal="center" vertical="center"/>
    </xf>
    <xf numFmtId="49" fontId="148" fillId="70" borderId="13" xfId="0" applyNumberFormat="1" applyFont="1" applyFill="1" applyBorder="1" applyAlignment="1">
      <alignment horizontal="center" vertical="center" wrapText="1"/>
    </xf>
    <xf numFmtId="0" fontId="310" fillId="0" borderId="12" xfId="2466" applyFont="1" applyBorder="1" applyAlignment="1">
      <alignment vertical="center" wrapText="1"/>
    </xf>
    <xf numFmtId="41" fontId="310" fillId="25" borderId="12" xfId="2466" applyNumberFormat="1" applyFont="1" applyFill="1" applyBorder="1" applyAlignment="1">
      <alignment vertical="center" wrapText="1"/>
    </xf>
    <xf numFmtId="0" fontId="310" fillId="25" borderId="12" xfId="2466" applyFont="1" applyFill="1" applyBorder="1" applyAlignment="1">
      <alignment vertical="center" wrapText="1"/>
    </xf>
    <xf numFmtId="41" fontId="310" fillId="64" borderId="12" xfId="2466" applyNumberFormat="1" applyFont="1" applyFill="1" applyBorder="1" applyAlignment="1">
      <alignment vertical="center" wrapText="1"/>
    </xf>
    <xf numFmtId="41" fontId="69" fillId="64" borderId="12" xfId="2466" applyNumberFormat="1" applyFont="1" applyFill="1" applyBorder="1" applyAlignment="1">
      <alignment vertical="center" wrapText="1"/>
    </xf>
    <xf numFmtId="41" fontId="311" fillId="0" borderId="0" xfId="2466" applyNumberFormat="1" applyFont="1" applyAlignment="1">
      <alignment vertical="center"/>
    </xf>
    <xf numFmtId="171" fontId="115" fillId="0" borderId="0" xfId="521" applyNumberFormat="1" applyFont="1"/>
    <xf numFmtId="171" fontId="114" fillId="0" borderId="0" xfId="521" applyNumberFormat="1" applyFont="1" applyAlignment="1">
      <alignment vertical="center"/>
    </xf>
    <xf numFmtId="171" fontId="114" fillId="0" borderId="0" xfId="521" applyNumberFormat="1" applyFont="1" applyAlignment="1">
      <alignment horizontal="center" vertical="center"/>
    </xf>
    <xf numFmtId="17" fontId="148" fillId="70" borderId="16" xfId="0" applyNumberFormat="1" applyFont="1" applyFill="1" applyBorder="1" applyAlignment="1">
      <alignment horizontal="center" vertical="center"/>
    </xf>
    <xf numFmtId="174" fontId="148" fillId="76" borderId="13" xfId="0" applyFont="1" applyFill="1" applyBorder="1" applyAlignment="1">
      <alignment horizontal="center" vertical="center" wrapText="1"/>
    </xf>
    <xf numFmtId="174" fontId="148" fillId="70" borderId="14" xfId="0" applyFont="1" applyFill="1" applyBorder="1" applyAlignment="1">
      <alignment horizontal="center" vertical="center" wrapText="1"/>
    </xf>
    <xf numFmtId="17" fontId="96"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6" fillId="0" borderId="12" xfId="299" applyNumberFormat="1" applyFont="1" applyFill="1" applyBorder="1" applyAlignment="1">
      <alignment horizontal="center" vertical="center"/>
    </xf>
    <xf numFmtId="3" fontId="96" fillId="0" borderId="23" xfId="299" applyNumberFormat="1" applyFont="1" applyFill="1" applyBorder="1" applyAlignment="1">
      <alignment horizontal="center" vertical="center"/>
    </xf>
    <xf numFmtId="49" fontId="96"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2" fillId="60" borderId="12" xfId="521" applyFont="1" applyFill="1" applyBorder="1" applyAlignment="1">
      <alignment vertical="center" wrapText="1"/>
    </xf>
    <xf numFmtId="171" fontId="115" fillId="0" borderId="12" xfId="521" applyNumberFormat="1" applyFont="1" applyBorder="1"/>
    <xf numFmtId="168" fontId="249" fillId="25" borderId="12" xfId="294" applyNumberFormat="1" applyFont="1" applyFill="1" applyBorder="1" applyAlignment="1">
      <alignment horizontal="center" vertical="center"/>
    </xf>
    <xf numFmtId="41" fontId="69" fillId="57" borderId="12" xfId="2466" applyNumberFormat="1" applyFont="1" applyFill="1" applyBorder="1" applyAlignment="1">
      <alignment vertical="center" wrapText="1"/>
    </xf>
    <xf numFmtId="43" fontId="245" fillId="25" borderId="12" xfId="294" applyFont="1" applyFill="1" applyBorder="1" applyAlignment="1">
      <alignment vertical="center"/>
    </xf>
    <xf numFmtId="43" fontId="187" fillId="0" borderId="0" xfId="577" applyFont="1" applyFill="1" applyBorder="1" applyAlignment="1">
      <alignment horizontal="center" vertical="center"/>
    </xf>
    <xf numFmtId="181" fontId="157" fillId="0" borderId="0" xfId="0" applyNumberFormat="1" applyFont="1"/>
    <xf numFmtId="0" fontId="191" fillId="0" borderId="12" xfId="889" applyFont="1" applyBorder="1" applyAlignment="1">
      <alignment vertical="center"/>
    </xf>
    <xf numFmtId="0" fontId="191" fillId="0" borderId="12" xfId="889" applyFont="1" applyBorder="1" applyAlignment="1">
      <alignment horizontal="right" vertical="center"/>
    </xf>
    <xf numFmtId="168" fontId="188" fillId="70" borderId="12" xfId="294" applyNumberFormat="1" applyFont="1" applyFill="1" applyBorder="1" applyAlignment="1">
      <alignment horizontal="right" vertical="center"/>
    </xf>
    <xf numFmtId="10" fontId="114" fillId="0" borderId="0" xfId="521" applyNumberFormat="1" applyFont="1"/>
    <xf numFmtId="175" fontId="114" fillId="0" borderId="0" xfId="521" applyNumberFormat="1" applyFont="1"/>
    <xf numFmtId="3" fontId="314" fillId="0" borderId="12" xfId="0" applyNumberFormat="1" applyFont="1" applyBorder="1" applyAlignment="1">
      <alignment horizontal="center" vertical="center" wrapText="1"/>
    </xf>
    <xf numFmtId="179" fontId="191" fillId="0" borderId="12" xfId="0" applyNumberFormat="1" applyFont="1" applyBorder="1" applyAlignment="1">
      <alignment horizontal="center"/>
    </xf>
    <xf numFmtId="49" fontId="96" fillId="25" borderId="32" xfId="0" applyNumberFormat="1" applyFont="1" applyFill="1" applyBorder="1" applyAlignment="1">
      <alignment horizontal="left"/>
    </xf>
    <xf numFmtId="168" fontId="96" fillId="25" borderId="12" xfId="0" applyNumberFormat="1" applyFont="1" applyFill="1" applyBorder="1" applyAlignment="1">
      <alignment horizontal="right" wrapText="1"/>
    </xf>
    <xf numFmtId="49" fontId="96" fillId="25" borderId="26" xfId="0" applyNumberFormat="1" applyFont="1" applyFill="1" applyBorder="1" applyAlignment="1">
      <alignment horizontal="left"/>
    </xf>
    <xf numFmtId="168" fontId="96" fillId="25" borderId="34" xfId="0" applyNumberFormat="1" applyFont="1" applyFill="1" applyBorder="1" applyAlignment="1">
      <alignment horizontal="right" wrapText="1"/>
    </xf>
    <xf numFmtId="171" fontId="148" fillId="70" borderId="14" xfId="521" applyNumberFormat="1" applyFont="1" applyFill="1" applyBorder="1" applyAlignment="1">
      <alignment horizontal="center" vertical="center" wrapText="1"/>
    </xf>
    <xf numFmtId="171" fontId="96" fillId="25" borderId="23" xfId="521" applyNumberFormat="1" applyFont="1" applyFill="1" applyBorder="1" applyAlignment="1">
      <alignment horizontal="right"/>
    </xf>
    <xf numFmtId="171" fontId="200" fillId="0" borderId="0" xfId="521" applyNumberFormat="1" applyFont="1" applyAlignment="1">
      <alignment horizontal="center"/>
    </xf>
    <xf numFmtId="171" fontId="157" fillId="0" borderId="0" xfId="521" applyNumberFormat="1" applyFont="1" applyAlignment="1">
      <alignment horizontal="center" vertical="center"/>
    </xf>
    <xf numFmtId="171" fontId="200"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9" fillId="70" borderId="12" xfId="521" applyNumberFormat="1" applyFont="1" applyFill="1" applyBorder="1"/>
    <xf numFmtId="43" fontId="114" fillId="0" borderId="0" xfId="2466" applyNumberFormat="1" applyFont="1" applyAlignment="1">
      <alignment horizontal="center" vertical="center"/>
    </xf>
    <xf numFmtId="12" fontId="114" fillId="0" borderId="0" xfId="294" applyNumberFormat="1" applyFont="1" applyAlignment="1">
      <alignment horizontal="center"/>
    </xf>
    <xf numFmtId="186" fontId="179" fillId="0" borderId="0" xfId="0" applyNumberFormat="1" applyFont="1" applyAlignment="1">
      <alignment horizontal="right" indent="2"/>
    </xf>
    <xf numFmtId="171" fontId="180" fillId="0" borderId="0" xfId="521" applyNumberFormat="1" applyFont="1" applyAlignment="1">
      <alignment horizontal="right"/>
    </xf>
    <xf numFmtId="174" fontId="265" fillId="25" borderId="0" xfId="0" applyFont="1" applyFill="1" applyAlignment="1">
      <alignment horizontal="center" vertical="center" wrapText="1" readingOrder="1"/>
    </xf>
    <xf numFmtId="0" fontId="114" fillId="57" borderId="0" xfId="2609" applyFont="1" applyFill="1"/>
    <xf numFmtId="0" fontId="114" fillId="25" borderId="0" xfId="2609" applyFont="1" applyFill="1"/>
    <xf numFmtId="0" fontId="316" fillId="77" borderId="0" xfId="2609" applyFont="1" applyFill="1"/>
    <xf numFmtId="0" fontId="114" fillId="0" borderId="0" xfId="2609" applyFont="1"/>
    <xf numFmtId="3" fontId="318" fillId="0" borderId="12" xfId="299" applyNumberFormat="1" applyFont="1" applyBorder="1" applyAlignment="1">
      <alignment horizontal="center" vertical="center"/>
    </xf>
    <xf numFmtId="0" fontId="31" fillId="57" borderId="0" xfId="2609" applyFill="1"/>
    <xf numFmtId="0" fontId="31" fillId="25" borderId="0" xfId="2609" applyFill="1"/>
    <xf numFmtId="0" fontId="91" fillId="77" borderId="0" xfId="2609" applyFont="1" applyFill="1"/>
    <xf numFmtId="0" fontId="31" fillId="0" borderId="0" xfId="2609"/>
    <xf numFmtId="17" fontId="231" fillId="0" borderId="0" xfId="2609" applyNumberFormat="1" applyFont="1" applyAlignment="1">
      <alignment horizontal="center" vertical="center"/>
    </xf>
    <xf numFmtId="3" fontId="195" fillId="0" borderId="12" xfId="299" applyNumberFormat="1" applyFont="1" applyBorder="1" applyAlignment="1">
      <alignment horizontal="center" vertical="center"/>
    </xf>
    <xf numFmtId="3" fontId="95" fillId="0" borderId="12" xfId="299" applyNumberFormat="1" applyFont="1" applyBorder="1" applyAlignment="1">
      <alignment horizontal="center" vertical="center"/>
    </xf>
    <xf numFmtId="43" fontId="320" fillId="0" borderId="12" xfId="294" applyFont="1" applyBorder="1"/>
    <xf numFmtId="43" fontId="31" fillId="0" borderId="0" xfId="2609" applyNumberFormat="1"/>
    <xf numFmtId="0" fontId="142" fillId="70" borderId="12" xfId="2609" applyFont="1" applyFill="1" applyBorder="1" applyAlignment="1">
      <alignment horizontal="center" vertical="center" wrapText="1"/>
    </xf>
    <xf numFmtId="173" fontId="31" fillId="0" borderId="0" xfId="2609" applyNumberFormat="1"/>
    <xf numFmtId="10" fontId="31" fillId="0" borderId="0" xfId="2609" applyNumberFormat="1"/>
    <xf numFmtId="17" fontId="95" fillId="0" borderId="12" xfId="2609" applyNumberFormat="1" applyFont="1" applyBorder="1" applyAlignment="1">
      <alignment horizontal="center" vertical="center"/>
    </xf>
    <xf numFmtId="10" fontId="94" fillId="0" borderId="12" xfId="521" applyNumberFormat="1" applyFont="1" applyBorder="1" applyAlignment="1">
      <alignment horizontal="center"/>
    </xf>
    <xf numFmtId="10" fontId="94" fillId="0" borderId="12" xfId="2609" applyNumberFormat="1" applyFont="1" applyBorder="1" applyAlignment="1">
      <alignment horizontal="center"/>
    </xf>
    <xf numFmtId="17" fontId="95" fillId="0" borderId="0" xfId="2609" applyNumberFormat="1" applyFont="1" applyAlignment="1">
      <alignment horizontal="center" vertical="center"/>
    </xf>
    <xf numFmtId="10" fontId="94" fillId="0" borderId="0" xfId="521" applyNumberFormat="1" applyFont="1" applyBorder="1" applyAlignment="1">
      <alignment horizontal="center"/>
    </xf>
    <xf numFmtId="10" fontId="94" fillId="0" borderId="0" xfId="2609" applyNumberFormat="1" applyFont="1" applyAlignment="1">
      <alignment horizontal="center"/>
    </xf>
    <xf numFmtId="0" fontId="142" fillId="60" borderId="12" xfId="2609" applyFont="1" applyFill="1" applyBorder="1" applyAlignment="1">
      <alignment horizontal="center" vertical="center"/>
    </xf>
    <xf numFmtId="0" fontId="142" fillId="60" borderId="12" xfId="2609" applyFont="1" applyFill="1" applyBorder="1" applyAlignment="1">
      <alignment horizontal="center" vertical="center" wrapText="1"/>
    </xf>
    <xf numFmtId="10" fontId="34" fillId="0" borderId="12" xfId="521" applyNumberFormat="1" applyFont="1" applyBorder="1" applyAlignment="1">
      <alignment horizontal="center"/>
    </xf>
    <xf numFmtId="10" fontId="34" fillId="0" borderId="12" xfId="2609" applyNumberFormat="1" applyFont="1" applyBorder="1" applyAlignment="1">
      <alignment horizontal="center"/>
    </xf>
    <xf numFmtId="49" fontId="95" fillId="0" borderId="12" xfId="2609" applyNumberFormat="1" applyFont="1" applyBorder="1" applyAlignment="1">
      <alignment horizontal="center" vertical="center" wrapText="1"/>
    </xf>
    <xf numFmtId="3" fontId="4" fillId="0" borderId="12" xfId="299" applyNumberFormat="1" applyFont="1" applyBorder="1" applyAlignment="1">
      <alignment horizontal="center" vertical="center" wrapText="1"/>
    </xf>
    <xf numFmtId="10" fontId="320" fillId="0" borderId="12" xfId="521" applyNumberFormat="1" applyFont="1" applyBorder="1"/>
    <xf numFmtId="3" fontId="95" fillId="0" borderId="12" xfId="299" applyNumberFormat="1" applyFont="1" applyBorder="1" applyAlignment="1">
      <alignment horizontal="center" vertical="center" wrapText="1"/>
    </xf>
    <xf numFmtId="2" fontId="31" fillId="25" borderId="0" xfId="2609" applyNumberFormat="1" applyFill="1"/>
    <xf numFmtId="3" fontId="34" fillId="0" borderId="12" xfId="2609" applyNumberFormat="1" applyFont="1" applyBorder="1"/>
    <xf numFmtId="0" fontId="321" fillId="8" borderId="89" xfId="584" applyFont="1" applyFill="1" applyBorder="1" applyAlignment="1">
      <alignment horizontal="center" vertical="center" wrapText="1"/>
    </xf>
    <xf numFmtId="0" fontId="321" fillId="8" borderId="90" xfId="584" applyFont="1" applyFill="1" applyBorder="1" applyAlignment="1">
      <alignment horizontal="center" vertical="center" wrapText="1"/>
    </xf>
    <xf numFmtId="3" fontId="321" fillId="8" borderId="90" xfId="584" applyNumberFormat="1" applyFont="1" applyFill="1" applyBorder="1" applyAlignment="1">
      <alignment horizontal="right" vertical="center" wrapText="1"/>
    </xf>
    <xf numFmtId="0" fontId="322" fillId="0" borderId="90" xfId="584" applyFont="1" applyBorder="1" applyAlignment="1">
      <alignment vertical="top" wrapText="1"/>
    </xf>
    <xf numFmtId="0" fontId="322" fillId="0" borderId="58" xfId="584" applyFont="1" applyBorder="1" applyAlignment="1">
      <alignment vertical="top" wrapText="1"/>
    </xf>
    <xf numFmtId="3" fontId="322" fillId="0" borderId="59" xfId="584" applyNumberFormat="1" applyFont="1" applyBorder="1" applyAlignment="1">
      <alignment horizontal="right" vertical="top" wrapText="1"/>
    </xf>
    <xf numFmtId="3" fontId="322" fillId="0" borderId="60" xfId="584" applyNumberFormat="1" applyFont="1" applyBorder="1" applyAlignment="1">
      <alignment horizontal="right" vertical="top" wrapText="1"/>
    </xf>
    <xf numFmtId="0" fontId="322" fillId="0" borderId="57" xfId="584" applyFont="1" applyBorder="1" applyAlignment="1">
      <alignment vertical="top" wrapText="1"/>
    </xf>
    <xf numFmtId="0" fontId="322" fillId="0" borderId="61" xfId="584" applyFont="1" applyBorder="1" applyAlignment="1">
      <alignment vertical="top" wrapText="1"/>
    </xf>
    <xf numFmtId="3" fontId="322" fillId="0" borderId="62" xfId="584" applyNumberFormat="1" applyFont="1" applyBorder="1" applyAlignment="1">
      <alignment horizontal="right" vertical="top" wrapText="1"/>
    </xf>
    <xf numFmtId="3" fontId="322" fillId="0" borderId="63" xfId="584" applyNumberFormat="1" applyFont="1" applyBorder="1" applyAlignment="1">
      <alignment horizontal="right" vertical="top" wrapText="1"/>
    </xf>
    <xf numFmtId="0" fontId="322" fillId="0" borderId="64" xfId="584" applyFont="1" applyBorder="1" applyAlignment="1">
      <alignment vertical="top" wrapText="1"/>
    </xf>
    <xf numFmtId="3" fontId="322" fillId="0" borderId="65" xfId="584" applyNumberFormat="1" applyFont="1" applyBorder="1" applyAlignment="1">
      <alignment horizontal="right" vertical="top" wrapText="1"/>
    </xf>
    <xf numFmtId="3" fontId="322" fillId="0" borderId="66" xfId="584" applyNumberFormat="1" applyFont="1" applyBorder="1" applyAlignment="1">
      <alignment horizontal="right" vertical="top" wrapText="1"/>
    </xf>
    <xf numFmtId="0" fontId="322" fillId="0" borderId="91" xfId="584" applyFont="1" applyBorder="1" applyAlignment="1">
      <alignment vertical="top" wrapText="1"/>
    </xf>
    <xf numFmtId="0" fontId="322" fillId="0" borderId="92" xfId="584" applyFont="1" applyBorder="1" applyAlignment="1">
      <alignment vertical="top" wrapText="1"/>
    </xf>
    <xf numFmtId="3" fontId="322" fillId="0" borderId="82" xfId="584" applyNumberFormat="1" applyFont="1" applyBorder="1" applyAlignment="1">
      <alignment horizontal="right" vertical="top" wrapText="1"/>
    </xf>
    <xf numFmtId="3" fontId="322" fillId="0" borderId="93" xfId="584" applyNumberFormat="1" applyFont="1" applyBorder="1" applyAlignment="1">
      <alignment horizontal="right" vertical="top" wrapText="1"/>
    </xf>
    <xf numFmtId="171" fontId="324" fillId="0" borderId="0" xfId="521" applyNumberFormat="1" applyFont="1" applyAlignment="1">
      <alignment vertical="center" readingOrder="1"/>
    </xf>
    <xf numFmtId="174" fontId="265" fillId="25" borderId="0" xfId="0" applyFont="1" applyFill="1" applyAlignment="1">
      <alignment vertical="center" wrapText="1" readingOrder="1"/>
    </xf>
    <xf numFmtId="174" fontId="325" fillId="0" borderId="0" xfId="0" applyFont="1"/>
    <xf numFmtId="174" fontId="223" fillId="0" borderId="0" xfId="0" applyFont="1"/>
    <xf numFmtId="174" fontId="223" fillId="0" borderId="0" xfId="0" applyFont="1" applyAlignment="1">
      <alignment vertical="top" readingOrder="1"/>
    </xf>
    <xf numFmtId="0" fontId="224" fillId="0" borderId="0" xfId="2609" applyFont="1"/>
    <xf numFmtId="0" fontId="156" fillId="60" borderId="12" xfId="2609" applyFont="1" applyFill="1" applyBorder="1" applyAlignment="1">
      <alignment horizontal="center" vertical="center"/>
    </xf>
    <xf numFmtId="0" fontId="156" fillId="60" borderId="12" xfId="2609" applyFont="1" applyFill="1" applyBorder="1" applyAlignment="1">
      <alignment horizontal="center" vertical="center" wrapText="1"/>
    </xf>
    <xf numFmtId="49" fontId="327" fillId="0" borderId="12" xfId="2609" applyNumberFormat="1" applyFont="1" applyBorder="1" applyAlignment="1">
      <alignment horizontal="center" vertical="center" wrapText="1"/>
    </xf>
    <xf numFmtId="3" fontId="313" fillId="0" borderId="12" xfId="299" applyNumberFormat="1" applyFont="1" applyBorder="1" applyAlignment="1">
      <alignment horizontal="center" vertical="center" wrapText="1"/>
    </xf>
    <xf numFmtId="3" fontId="327" fillId="0" borderId="12" xfId="299" applyNumberFormat="1" applyFont="1" applyBorder="1" applyAlignment="1">
      <alignment horizontal="center" vertical="center" wrapText="1"/>
    </xf>
    <xf numFmtId="3" fontId="328" fillId="0" borderId="12" xfId="2609" applyNumberFormat="1" applyFont="1" applyBorder="1"/>
    <xf numFmtId="174" fontId="329" fillId="57" borderId="12" xfId="0" applyFont="1" applyFill="1" applyBorder="1" applyAlignment="1">
      <alignment horizontal="left"/>
    </xf>
    <xf numFmtId="174" fontId="329" fillId="57" borderId="12" xfId="0" applyFont="1" applyFill="1" applyBorder="1" applyAlignment="1">
      <alignment horizontal="center"/>
    </xf>
    <xf numFmtId="174" fontId="224" fillId="68" borderId="12" xfId="0" applyFont="1" applyFill="1" applyBorder="1" applyAlignment="1">
      <alignment horizontal="left"/>
    </xf>
    <xf numFmtId="190" fontId="224" fillId="68" borderId="12" xfId="294" applyNumberFormat="1" applyFont="1" applyFill="1" applyBorder="1" applyAlignment="1">
      <alignment horizontal="center"/>
    </xf>
    <xf numFmtId="174" fontId="330" fillId="29" borderId="55" xfId="0" applyFont="1" applyFill="1" applyBorder="1" applyAlignment="1">
      <alignment horizontal="center" vertical="center" wrapText="1"/>
    </xf>
    <xf numFmtId="4" fontId="331" fillId="29" borderId="46" xfId="0" applyNumberFormat="1" applyFont="1" applyFill="1" applyBorder="1" applyAlignment="1">
      <alignment horizontal="center" vertical="center" wrapText="1"/>
    </xf>
    <xf numFmtId="4" fontId="332" fillId="29" borderId="46" xfId="0" applyNumberFormat="1" applyFont="1" applyFill="1" applyBorder="1" applyAlignment="1">
      <alignment horizontal="center" vertical="center" wrapText="1"/>
    </xf>
    <xf numFmtId="4" fontId="332" fillId="27" borderId="46" xfId="0" applyNumberFormat="1" applyFont="1" applyFill="1" applyBorder="1" applyAlignment="1">
      <alignment horizontal="center" vertical="center" wrapText="1"/>
    </xf>
    <xf numFmtId="171" fontId="323" fillId="0" borderId="0" xfId="521" applyNumberFormat="1" applyFont="1"/>
    <xf numFmtId="174" fontId="223" fillId="0" borderId="12" xfId="0" applyFont="1" applyBorder="1" applyAlignment="1">
      <alignment vertical="center"/>
    </xf>
    <xf numFmtId="171" fontId="223" fillId="0" borderId="12" xfId="521" applyNumberFormat="1" applyFont="1" applyBorder="1" applyAlignment="1">
      <alignment vertical="center"/>
    </xf>
    <xf numFmtId="174" fontId="223" fillId="0" borderId="12" xfId="0" applyFont="1" applyBorder="1" applyAlignment="1">
      <alignment vertical="center" readingOrder="1"/>
    </xf>
    <xf numFmtId="174" fontId="333" fillId="0" borderId="0" xfId="0" applyFont="1" applyAlignment="1">
      <alignment horizontal="center" vertical="center"/>
    </xf>
    <xf numFmtId="174" fontId="334" fillId="0" borderId="0" xfId="0" applyFont="1" applyAlignment="1">
      <alignment horizontal="center" vertical="center"/>
    </xf>
    <xf numFmtId="174" fontId="334" fillId="0" borderId="12" xfId="0" applyFont="1" applyBorder="1" applyAlignment="1">
      <alignment horizontal="left" vertical="center"/>
    </xf>
    <xf numFmtId="174" fontId="223" fillId="25" borderId="12" xfId="0" applyFont="1" applyFill="1" applyBorder="1"/>
    <xf numFmtId="174" fontId="335" fillId="78" borderId="12" xfId="0" applyFont="1" applyFill="1" applyBorder="1"/>
    <xf numFmtId="174" fontId="335" fillId="78" borderId="13" xfId="0" applyFont="1" applyFill="1" applyBorder="1"/>
    <xf numFmtId="174" fontId="335" fillId="79" borderId="13" xfId="0" applyFont="1" applyFill="1" applyBorder="1"/>
    <xf numFmtId="49" fontId="335" fillId="79" borderId="13" xfId="0" applyNumberFormat="1" applyFont="1" applyFill="1" applyBorder="1"/>
    <xf numFmtId="193" fontId="157" fillId="0" borderId="0" xfId="294" applyNumberFormat="1" applyFont="1"/>
    <xf numFmtId="43" fontId="157" fillId="0" borderId="12" xfId="294" applyFont="1" applyBorder="1"/>
    <xf numFmtId="0" fontId="189" fillId="25" borderId="12" xfId="0" applyNumberFormat="1" applyFont="1" applyFill="1" applyBorder="1" applyAlignment="1">
      <alignment horizontal="center" vertical="center"/>
    </xf>
    <xf numFmtId="0" fontId="189" fillId="25" borderId="14" xfId="0" applyNumberFormat="1" applyFont="1" applyFill="1" applyBorder="1" applyAlignment="1">
      <alignment horizontal="center" vertical="center"/>
    </xf>
    <xf numFmtId="168" fontId="177" fillId="0" borderId="12" xfId="294" applyNumberFormat="1" applyFont="1" applyFill="1" applyBorder="1" applyAlignment="1">
      <alignment horizontal="right"/>
    </xf>
    <xf numFmtId="168" fontId="182"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8" fillId="70" borderId="34" xfId="294" applyNumberFormat="1" applyFont="1" applyFill="1" applyBorder="1" applyAlignment="1">
      <alignment horizontal="right" vertical="center"/>
    </xf>
    <xf numFmtId="0" fontId="209" fillId="70" borderId="11" xfId="889" applyFont="1" applyFill="1" applyBorder="1" applyAlignment="1">
      <alignment horizontal="center" vertical="center" wrapText="1"/>
    </xf>
    <xf numFmtId="174" fontId="175" fillId="70" borderId="11" xfId="0" applyFont="1" applyFill="1" applyBorder="1"/>
    <xf numFmtId="0" fontId="202" fillId="0" borderId="17" xfId="889" applyFont="1" applyBorder="1" applyAlignment="1">
      <alignment horizontal="left" vertical="center"/>
    </xf>
    <xf numFmtId="0" fontId="209" fillId="70" borderId="26" xfId="889" applyFont="1" applyFill="1" applyBorder="1" applyAlignment="1">
      <alignment horizontal="center" vertical="center"/>
    </xf>
    <xf numFmtId="0" fontId="202" fillId="0" borderId="34" xfId="889" applyFont="1" applyBorder="1" applyAlignment="1">
      <alignment horizontal="left" vertical="center"/>
    </xf>
    <xf numFmtId="0" fontId="202" fillId="0" borderId="0" xfId="889" applyFont="1" applyAlignment="1">
      <alignment horizontal="left" vertical="center"/>
    </xf>
    <xf numFmtId="0" fontId="202" fillId="0" borderId="79" xfId="889" applyFont="1" applyBorder="1" applyAlignment="1">
      <alignment horizontal="left" vertical="center"/>
    </xf>
    <xf numFmtId="0" fontId="202" fillId="0" borderId="12" xfId="889" applyFont="1" applyBorder="1" applyAlignment="1">
      <alignment horizontal="left" vertical="center"/>
    </xf>
    <xf numFmtId="0" fontId="209" fillId="70" borderId="12" xfId="889" applyFont="1" applyFill="1" applyBorder="1" applyAlignment="1">
      <alignment horizontal="center" vertical="center"/>
    </xf>
    <xf numFmtId="171" fontId="194" fillId="0" borderId="12" xfId="1093" applyNumberFormat="1" applyFont="1" applyBorder="1" applyAlignment="1">
      <alignment horizontal="center"/>
    </xf>
    <xf numFmtId="10" fontId="34" fillId="0" borderId="0" xfId="521" applyNumberFormat="1" applyFont="1" applyBorder="1" applyAlignment="1">
      <alignment horizontal="center"/>
    </xf>
    <xf numFmtId="10" fontId="34" fillId="0" borderId="0" xfId="2609" applyNumberFormat="1" applyFont="1" applyAlignment="1">
      <alignment horizontal="center"/>
    </xf>
    <xf numFmtId="17" fontId="326" fillId="0" borderId="0" xfId="2609" applyNumberFormat="1" applyFont="1" applyAlignment="1">
      <alignment vertical="center"/>
    </xf>
    <xf numFmtId="3" fontId="340" fillId="0" borderId="12" xfId="2609" applyNumberFormat="1" applyFont="1" applyBorder="1"/>
    <xf numFmtId="0" fontId="156" fillId="60" borderId="34" xfId="2609" applyFont="1" applyFill="1" applyBorder="1" applyAlignment="1">
      <alignment horizontal="center" vertical="center" wrapText="1"/>
    </xf>
    <xf numFmtId="174" fontId="223" fillId="0" borderId="12" xfId="0" applyFont="1" applyBorder="1"/>
    <xf numFmtId="171" fontId="323" fillId="0" borderId="12" xfId="521" applyNumberFormat="1" applyFont="1" applyBorder="1"/>
    <xf numFmtId="171" fontId="341" fillId="0" borderId="0" xfId="521" applyNumberFormat="1" applyFont="1" applyAlignment="1">
      <alignment vertical="center"/>
    </xf>
    <xf numFmtId="171" fontId="343" fillId="0" borderId="0" xfId="521" applyNumberFormat="1" applyFont="1" applyAlignment="1"/>
    <xf numFmtId="171" fontId="344" fillId="0" borderId="0" xfId="521" applyNumberFormat="1" applyFont="1" applyAlignment="1"/>
    <xf numFmtId="49" fontId="327" fillId="0" borderId="0" xfId="2609" applyNumberFormat="1" applyFont="1" applyAlignment="1">
      <alignment horizontal="center" vertical="center" wrapText="1"/>
    </xf>
    <xf numFmtId="3" fontId="313" fillId="0" borderId="0" xfId="299" applyNumberFormat="1" applyFont="1" applyBorder="1" applyAlignment="1">
      <alignment horizontal="center" vertical="center" wrapText="1"/>
    </xf>
    <xf numFmtId="174" fontId="334" fillId="0" borderId="0" xfId="0" applyFont="1" applyAlignment="1">
      <alignment horizontal="left" vertical="center"/>
    </xf>
    <xf numFmtId="174" fontId="224" fillId="68" borderId="0" xfId="0" applyFont="1" applyFill="1" applyAlignment="1">
      <alignment horizontal="left"/>
    </xf>
    <xf numFmtId="190" fontId="224" fillId="68" borderId="0" xfId="294" applyNumberFormat="1" applyFont="1" applyFill="1" applyBorder="1" applyAlignment="1">
      <alignment horizontal="center"/>
    </xf>
    <xf numFmtId="4" fontId="65" fillId="68" borderId="0" xfId="0" applyNumberFormat="1" applyFont="1" applyFill="1" applyAlignment="1">
      <alignment horizontal="right"/>
    </xf>
    <xf numFmtId="174" fontId="273" fillId="25" borderId="0" xfId="0" applyFont="1" applyFill="1" applyAlignment="1">
      <alignment wrapText="1" readingOrder="1"/>
    </xf>
    <xf numFmtId="171" fontId="342" fillId="0" borderId="0" xfId="521" applyNumberFormat="1" applyFont="1" applyAlignment="1">
      <alignment vertical="center" wrapText="1"/>
    </xf>
    <xf numFmtId="174" fontId="345" fillId="0" borderId="0" xfId="0" applyFont="1"/>
    <xf numFmtId="178" fontId="346" fillId="0" borderId="0" xfId="0" applyNumberFormat="1" applyFont="1"/>
    <xf numFmtId="174" fontId="209" fillId="71" borderId="26" xfId="0" applyFont="1" applyFill="1" applyBorder="1" applyAlignment="1">
      <alignment horizontal="center" vertical="top"/>
    </xf>
    <xf numFmtId="168" fontId="209" fillId="71" borderId="34" xfId="294" applyNumberFormat="1" applyFont="1" applyFill="1" applyBorder="1" applyAlignment="1">
      <alignment horizontal="right" vertical="top"/>
    </xf>
    <xf numFmtId="174" fontId="351" fillId="81" borderId="12" xfId="0" applyFont="1" applyFill="1" applyBorder="1" applyAlignment="1">
      <alignment horizontal="center"/>
    </xf>
    <xf numFmtId="174" fontId="351" fillId="0" borderId="12" xfId="0" applyFont="1" applyBorder="1" applyAlignment="1">
      <alignment horizontal="center" vertical="center"/>
    </xf>
    <xf numFmtId="174" fontId="350" fillId="0" borderId="12" xfId="0" applyFont="1" applyBorder="1" applyAlignment="1">
      <alignment vertical="center"/>
    </xf>
    <xf numFmtId="41" fontId="40" fillId="0" borderId="12" xfId="0" applyNumberFormat="1" applyFont="1" applyBorder="1"/>
    <xf numFmtId="174" fontId="350" fillId="81" borderId="34" xfId="0" applyFont="1" applyFill="1" applyBorder="1" applyAlignment="1">
      <alignment horizontal="center" vertical="center"/>
    </xf>
    <xf numFmtId="174" fontId="352" fillId="81" borderId="34" xfId="0" applyFont="1" applyFill="1" applyBorder="1" applyAlignment="1">
      <alignment horizontal="center" vertical="center"/>
    </xf>
    <xf numFmtId="41" fontId="157" fillId="0" borderId="12" xfId="889" applyNumberFormat="1" applyFont="1" applyBorder="1"/>
    <xf numFmtId="41" fontId="157" fillId="0" borderId="12" xfId="889" applyNumberFormat="1" applyFont="1" applyBorder="1" applyAlignment="1">
      <alignment vertical="center"/>
    </xf>
    <xf numFmtId="0" fontId="188" fillId="70" borderId="23" xfId="889" applyFont="1" applyFill="1" applyBorder="1" applyAlignment="1">
      <alignment horizontal="center" vertical="center" wrapText="1"/>
    </xf>
    <xf numFmtId="0" fontId="188" fillId="70" borderId="34" xfId="889" applyFont="1" applyFill="1" applyBorder="1" applyAlignment="1">
      <alignment horizontal="center" vertical="center"/>
    </xf>
    <xf numFmtId="174" fontId="50"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353" fillId="72" borderId="0" xfId="0" applyNumberFormat="1" applyFont="1" applyFill="1" applyAlignment="1">
      <alignment horizontal="left" wrapText="1" readingOrder="1"/>
    </xf>
    <xf numFmtId="174" fontId="176" fillId="0" borderId="0" xfId="0" applyFont="1"/>
    <xf numFmtId="41" fontId="176" fillId="0" borderId="0" xfId="0" applyNumberFormat="1" applyFont="1"/>
    <xf numFmtId="41" fontId="355" fillId="0" borderId="0" xfId="0" applyNumberFormat="1" applyFont="1" applyAlignment="1">
      <alignment horizontal="center" vertical="center"/>
    </xf>
    <xf numFmtId="174" fontId="318" fillId="0" borderId="12" xfId="0" applyFont="1" applyBorder="1"/>
    <xf numFmtId="41" fontId="318" fillId="0" borderId="12" xfId="0" applyNumberFormat="1" applyFont="1" applyBorder="1"/>
    <xf numFmtId="171" fontId="318" fillId="0" borderId="12" xfId="521" applyNumberFormat="1" applyFont="1" applyBorder="1" applyAlignment="1">
      <alignment horizontal="right" indent="1"/>
    </xf>
    <xf numFmtId="171" fontId="234" fillId="0" borderId="0" xfId="521" applyNumberFormat="1" applyFont="1" applyBorder="1" applyAlignment="1">
      <alignment horizontal="center" vertical="center"/>
    </xf>
    <xf numFmtId="174" fontId="234" fillId="0" borderId="12" xfId="0" applyFont="1" applyBorder="1" applyAlignment="1">
      <alignment horizontal="center"/>
    </xf>
    <xf numFmtId="171" fontId="176" fillId="0" borderId="12" xfId="521" applyNumberFormat="1" applyFont="1" applyBorder="1" applyAlignment="1">
      <alignment horizontal="center"/>
    </xf>
    <xf numFmtId="174" fontId="234" fillId="0" borderId="12" xfId="0" applyFont="1" applyBorder="1" applyAlignment="1">
      <alignment horizontal="center" vertical="center" wrapText="1"/>
    </xf>
    <xf numFmtId="10" fontId="176" fillId="0" borderId="0" xfId="521" applyNumberFormat="1" applyFont="1"/>
    <xf numFmtId="174" fontId="234" fillId="0" borderId="0" xfId="0" applyFont="1"/>
    <xf numFmtId="171" fontId="114" fillId="0" borderId="0" xfId="521" applyNumberFormat="1" applyFont="1" applyAlignment="1">
      <alignment horizontal="left"/>
    </xf>
    <xf numFmtId="10" fontId="114" fillId="0" borderId="0" xfId="521" applyNumberFormat="1" applyFont="1" applyAlignment="1">
      <alignment horizontal="left"/>
    </xf>
    <xf numFmtId="174" fontId="356" fillId="0" borderId="0" xfId="0" applyFont="1" applyAlignment="1">
      <alignment horizontal="left"/>
    </xf>
    <xf numFmtId="174" fontId="356" fillId="0" borderId="0" xfId="0" applyFont="1"/>
    <xf numFmtId="174" fontId="164" fillId="0" borderId="0" xfId="0" applyFont="1" applyAlignment="1">
      <alignment horizontal="left"/>
    </xf>
    <xf numFmtId="186" fontId="356" fillId="0" borderId="0" xfId="0" applyNumberFormat="1" applyFont="1" applyAlignment="1">
      <alignment horizontal="left"/>
    </xf>
    <xf numFmtId="178" fontId="356" fillId="0" borderId="0" xfId="0" applyNumberFormat="1" applyFont="1" applyAlignment="1">
      <alignment horizontal="left"/>
    </xf>
    <xf numFmtId="174" fontId="357" fillId="0" borderId="12" xfId="0" applyFont="1" applyBorder="1" applyAlignment="1">
      <alignment horizontal="center" vertical="center" wrapText="1"/>
    </xf>
    <xf numFmtId="41" fontId="357" fillId="0" borderId="12" xfId="0" applyNumberFormat="1" applyFont="1" applyBorder="1"/>
    <xf numFmtId="41" fontId="358" fillId="0" borderId="12" xfId="0" applyNumberFormat="1" applyFont="1" applyBorder="1"/>
    <xf numFmtId="171" fontId="358" fillId="0" borderId="12" xfId="521" applyNumberFormat="1" applyFont="1" applyBorder="1" applyAlignment="1"/>
    <xf numFmtId="171" fontId="357" fillId="0" borderId="12" xfId="521" applyNumberFormat="1" applyFont="1" applyBorder="1" applyAlignment="1"/>
    <xf numFmtId="171" fontId="358" fillId="0" borderId="12" xfId="521" applyNumberFormat="1" applyFont="1" applyBorder="1" applyAlignment="1">
      <alignment horizontal="left" vertical="center" wrapText="1"/>
    </xf>
    <xf numFmtId="179" fontId="358" fillId="0" borderId="12" xfId="0" applyNumberFormat="1" applyFont="1" applyBorder="1" applyAlignment="1">
      <alignment horizontal="left" vertical="center"/>
    </xf>
    <xf numFmtId="174" fontId="356" fillId="0" borderId="0" xfId="0" applyFont="1" applyAlignment="1">
      <alignment horizontal="left" vertical="center"/>
    </xf>
    <xf numFmtId="171" fontId="356" fillId="0" borderId="0" xfId="521" applyNumberFormat="1" applyFont="1" applyAlignment="1">
      <alignment horizontal="left" vertical="center"/>
    </xf>
    <xf numFmtId="171" fontId="357" fillId="0" borderId="12" xfId="521" applyNumberFormat="1" applyFont="1" applyBorder="1" applyAlignment="1">
      <alignment horizontal="left"/>
    </xf>
    <xf numFmtId="41" fontId="359" fillId="0" borderId="12" xfId="0" applyNumberFormat="1" applyFont="1" applyBorder="1" applyAlignment="1">
      <alignment horizontal="left"/>
    </xf>
    <xf numFmtId="10" fontId="358" fillId="0" borderId="12" xfId="521" applyNumberFormat="1" applyFont="1" applyBorder="1" applyAlignment="1">
      <alignment horizontal="left"/>
    </xf>
    <xf numFmtId="174" fontId="357" fillId="0" borderId="12" xfId="0" applyFont="1" applyBorder="1" applyAlignment="1">
      <alignment horizontal="left"/>
    </xf>
    <xf numFmtId="171" fontId="358" fillId="0" borderId="12" xfId="521" applyNumberFormat="1" applyFont="1" applyBorder="1" applyAlignment="1">
      <alignment horizontal="left"/>
    </xf>
    <xf numFmtId="174" fontId="357" fillId="0" borderId="12" xfId="0" applyFont="1" applyBorder="1" applyAlignment="1">
      <alignment horizontal="left" vertical="center"/>
    </xf>
    <xf numFmtId="174" fontId="358" fillId="0" borderId="12" xfId="0" applyFont="1" applyBorder="1" applyAlignment="1">
      <alignment horizontal="left" vertical="center" wrapText="1"/>
    </xf>
    <xf numFmtId="41" fontId="357" fillId="0" borderId="12" xfId="0" applyNumberFormat="1" applyFont="1" applyBorder="1" applyAlignment="1">
      <alignment horizontal="left"/>
    </xf>
    <xf numFmtId="10" fontId="357" fillId="0" borderId="0" xfId="521" applyNumberFormat="1" applyFont="1" applyAlignment="1">
      <alignment horizontal="center"/>
    </xf>
    <xf numFmtId="174" fontId="357" fillId="0" borderId="12" xfId="0" applyFont="1" applyBorder="1" applyAlignment="1">
      <alignment horizontal="left" vertical="center" wrapText="1"/>
    </xf>
    <xf numFmtId="171" fontId="356" fillId="0" borderId="12" xfId="521" applyNumberFormat="1" applyFont="1" applyBorder="1" applyAlignment="1">
      <alignment horizontal="left"/>
    </xf>
    <xf numFmtId="171" fontId="356" fillId="0" borderId="0" xfId="521" applyNumberFormat="1" applyFont="1" applyAlignment="1">
      <alignment horizontal="left"/>
    </xf>
    <xf numFmtId="174" fontId="358" fillId="0" borderId="12" xfId="0" applyFont="1" applyBorder="1" applyAlignment="1">
      <alignment horizontal="left" vertical="center"/>
    </xf>
    <xf numFmtId="178" fontId="356" fillId="0" borderId="12" xfId="0" applyNumberFormat="1" applyFont="1" applyBorder="1" applyAlignment="1">
      <alignment horizontal="left" vertical="center"/>
    </xf>
    <xf numFmtId="193" fontId="356" fillId="0" borderId="0" xfId="294" applyNumberFormat="1" applyFont="1" applyAlignment="1">
      <alignment horizontal="left"/>
    </xf>
    <xf numFmtId="10" fontId="356" fillId="0" borderId="0" xfId="521" applyNumberFormat="1" applyFont="1" applyAlignment="1">
      <alignment horizontal="left"/>
    </xf>
    <xf numFmtId="174" fontId="358" fillId="0" borderId="0" xfId="0" applyFont="1" applyAlignment="1">
      <alignment horizontal="left" vertical="top"/>
    </xf>
    <xf numFmtId="43" fontId="356" fillId="0" borderId="0" xfId="294" applyFont="1" applyAlignment="1">
      <alignment horizontal="left" vertical="top"/>
    </xf>
    <xf numFmtId="174" fontId="356" fillId="0" borderId="0" xfId="0" applyFont="1" applyAlignment="1">
      <alignment horizontal="left" vertical="top"/>
    </xf>
    <xf numFmtId="174" fontId="48" fillId="0" borderId="0" xfId="0" applyFont="1" applyAlignment="1">
      <alignment wrapText="1"/>
    </xf>
    <xf numFmtId="174" fontId="48" fillId="0" borderId="0" xfId="0" applyFont="1" applyAlignment="1">
      <alignment horizontal="center" vertical="center"/>
    </xf>
    <xf numFmtId="41" fontId="35" fillId="0" borderId="12" xfId="0" applyNumberFormat="1" applyFont="1" applyBorder="1" applyAlignment="1">
      <alignment horizontal="center" vertical="center" wrapText="1"/>
    </xf>
    <xf numFmtId="41" fontId="48" fillId="0" borderId="12" xfId="0" applyNumberFormat="1" applyFont="1" applyBorder="1" applyAlignment="1">
      <alignment horizontal="center" vertical="center" wrapText="1"/>
    </xf>
    <xf numFmtId="171" fontId="35" fillId="0" borderId="12" xfId="521" applyNumberFormat="1" applyFont="1" applyBorder="1"/>
    <xf numFmtId="171" fontId="114" fillId="0" borderId="0" xfId="521" applyNumberFormat="1" applyFont="1" applyAlignment="1">
      <alignment horizontal="right"/>
    </xf>
    <xf numFmtId="174" fontId="114" fillId="0" borderId="0" xfId="0" applyFont="1" applyAlignment="1">
      <alignment horizontal="right"/>
    </xf>
    <xf numFmtId="3" fontId="114" fillId="0" borderId="12" xfId="0" applyNumberFormat="1" applyFont="1" applyBorder="1" applyAlignment="1">
      <alignment horizontal="center" vertical="center" wrapText="1"/>
    </xf>
    <xf numFmtId="171" fontId="114" fillId="0" borderId="12" xfId="521" applyNumberFormat="1" applyFont="1" applyBorder="1" applyAlignment="1">
      <alignment horizontal="center" vertical="center" wrapText="1"/>
    </xf>
    <xf numFmtId="181" fontId="311" fillId="0" borderId="0" xfId="0" applyNumberFormat="1" applyFont="1" applyAlignment="1">
      <alignment horizontal="right"/>
    </xf>
    <xf numFmtId="171" fontId="114" fillId="0" borderId="12" xfId="521" applyNumberFormat="1" applyFont="1" applyBorder="1" applyAlignment="1">
      <alignment horizontal="right" vertical="center" wrapText="1"/>
    </xf>
    <xf numFmtId="171" fontId="120" fillId="0" borderId="0" xfId="521" applyNumberFormat="1" applyFont="1" applyAlignment="1">
      <alignment horizontal="right"/>
    </xf>
    <xf numFmtId="174" fontId="114" fillId="0" borderId="31" xfId="0" applyFont="1" applyBorder="1"/>
    <xf numFmtId="174" fontId="120" fillId="0" borderId="12" xfId="0" applyFont="1" applyBorder="1" applyAlignment="1">
      <alignment horizontal="right"/>
    </xf>
    <xf numFmtId="168" fontId="114" fillId="0" borderId="12" xfId="521" applyNumberFormat="1" applyFont="1" applyBorder="1" applyAlignment="1">
      <alignment horizontal="right"/>
    </xf>
    <xf numFmtId="174" fontId="120" fillId="0" borderId="12" xfId="0" applyFont="1" applyBorder="1" applyAlignment="1">
      <alignment horizontal="left"/>
    </xf>
    <xf numFmtId="171" fontId="120" fillId="0" borderId="12" xfId="521" applyNumberFormat="1" applyFont="1" applyBorder="1" applyAlignment="1">
      <alignment horizontal="right"/>
    </xf>
    <xf numFmtId="43" fontId="120" fillId="0" borderId="12" xfId="294" applyFont="1" applyBorder="1" applyAlignment="1">
      <alignment vertical="center"/>
    </xf>
    <xf numFmtId="171" fontId="121" fillId="0" borderId="0" xfId="521" applyNumberFormat="1" applyFont="1" applyAlignment="1">
      <alignment horizontal="left"/>
    </xf>
    <xf numFmtId="171" fontId="114" fillId="0" borderId="12" xfId="521" applyNumberFormat="1" applyFont="1" applyBorder="1" applyAlignment="1">
      <alignment horizontal="center"/>
    </xf>
    <xf numFmtId="171" fontId="114" fillId="0" borderId="0" xfId="521" applyNumberFormat="1" applyFont="1" applyAlignment="1">
      <alignment horizontal="right" wrapText="1"/>
    </xf>
    <xf numFmtId="174" fontId="114" fillId="0" borderId="0" xfId="0" applyFont="1" applyAlignment="1">
      <alignment horizontal="right" wrapText="1"/>
    </xf>
    <xf numFmtId="49" fontId="148" fillId="71" borderId="32" xfId="0" applyNumberFormat="1" applyFont="1" applyFill="1" applyBorder="1" applyAlignment="1">
      <alignment horizontal="center"/>
    </xf>
    <xf numFmtId="171" fontId="148" fillId="71"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8" fillId="71" borderId="12" xfId="294" applyNumberFormat="1" applyFont="1" applyFill="1" applyBorder="1" applyAlignment="1">
      <alignment horizontal="right"/>
    </xf>
    <xf numFmtId="174" fontId="361" fillId="0" borderId="0" xfId="0" applyFont="1" applyAlignment="1">
      <alignment vertical="center" wrapText="1"/>
    </xf>
    <xf numFmtId="174" fontId="302" fillId="0" borderId="0" xfId="0" applyFont="1" applyAlignment="1">
      <alignment vertical="center" wrapText="1"/>
    </xf>
    <xf numFmtId="49" fontId="125" fillId="25" borderId="93" xfId="0" applyNumberFormat="1" applyFont="1" applyFill="1" applyBorder="1" applyAlignment="1">
      <alignment horizontal="right" vertical="top" wrapText="1"/>
    </xf>
    <xf numFmtId="171" fontId="362" fillId="0" borderId="0" xfId="521" applyNumberFormat="1" applyFont="1" applyAlignment="1"/>
    <xf numFmtId="0" fontId="33" fillId="57" borderId="12" xfId="2582" applyFont="1" applyFill="1" applyBorder="1" applyAlignment="1">
      <alignment horizontal="center" vertical="center"/>
    </xf>
    <xf numFmtId="4" fontId="33" fillId="57" borderId="12" xfId="2582" applyNumberFormat="1" applyFont="1" applyFill="1" applyBorder="1" applyAlignment="1">
      <alignment horizontal="center" vertical="center"/>
    </xf>
    <xf numFmtId="0" fontId="0" fillId="68" borderId="12" xfId="2582" applyFont="1" applyFill="1" applyBorder="1" applyAlignment="1">
      <alignment horizontal="left"/>
    </xf>
    <xf numFmtId="4" fontId="0" fillId="68" borderId="12" xfId="2582" applyNumberFormat="1" applyFont="1" applyFill="1" applyBorder="1" applyAlignment="1">
      <alignment horizontal="left"/>
    </xf>
    <xf numFmtId="0" fontId="48" fillId="68" borderId="0" xfId="2582" applyFont="1" applyFill="1" applyAlignment="1">
      <alignment horizontal="left"/>
    </xf>
    <xf numFmtId="0" fontId="0" fillId="68" borderId="0" xfId="2582" applyFont="1" applyFill="1" applyAlignment="1">
      <alignment horizontal="left" vertical="center"/>
    </xf>
    <xf numFmtId="0" fontId="363" fillId="68" borderId="12" xfId="2582" applyFont="1" applyFill="1" applyBorder="1" applyAlignment="1">
      <alignment horizontal="left"/>
    </xf>
    <xf numFmtId="4" fontId="363" fillId="68" borderId="12" xfId="2582" applyNumberFormat="1" applyFont="1" applyFill="1" applyBorder="1" applyAlignment="1">
      <alignment horizontal="left"/>
    </xf>
    <xf numFmtId="174" fontId="193" fillId="60" borderId="12" xfId="0" applyFont="1" applyFill="1" applyBorder="1" applyAlignment="1">
      <alignment horizontal="center" vertical="center" wrapText="1"/>
    </xf>
    <xf numFmtId="171" fontId="230" fillId="0" borderId="23" xfId="521" applyNumberFormat="1" applyFont="1" applyBorder="1" applyAlignment="1">
      <alignment horizontal="center" vertical="top"/>
    </xf>
    <xf numFmtId="171" fontId="230" fillId="0" borderId="12" xfId="521" applyNumberFormat="1" applyFont="1" applyBorder="1" applyAlignment="1">
      <alignment horizontal="center" vertical="top"/>
    </xf>
    <xf numFmtId="0" fontId="365" fillId="68" borderId="0" xfId="428" applyFont="1" applyFill="1" applyAlignment="1">
      <alignment horizontal="center"/>
    </xf>
    <xf numFmtId="171" fontId="178" fillId="0" borderId="0" xfId="521" applyNumberFormat="1" applyFont="1"/>
    <xf numFmtId="171" fontId="308" fillId="27" borderId="0" xfId="521" applyNumberFormat="1" applyFont="1" applyFill="1"/>
    <xf numFmtId="49" fontId="211" fillId="0" borderId="32" xfId="359" applyNumberFormat="1" applyFont="1" applyBorder="1" applyAlignment="1">
      <alignment horizontal="center" vertical="center"/>
    </xf>
    <xf numFmtId="171" fontId="208" fillId="0" borderId="12" xfId="521" applyNumberFormat="1" applyFont="1" applyBorder="1" applyAlignment="1">
      <alignment horizontal="right" indent="1"/>
    </xf>
    <xf numFmtId="174" fontId="186" fillId="0" borderId="12" xfId="0" applyFont="1" applyBorder="1" applyAlignment="1">
      <alignment horizontal="center"/>
    </xf>
    <xf numFmtId="174" fontId="186" fillId="0" borderId="0" xfId="0" applyFont="1" applyAlignment="1">
      <alignment horizontal="center"/>
    </xf>
    <xf numFmtId="171" fontId="186" fillId="0" borderId="0" xfId="521" applyNumberFormat="1" applyFont="1" applyAlignment="1">
      <alignment horizontal="right" indent="1"/>
    </xf>
    <xf numFmtId="165" fontId="305" fillId="74" borderId="94" xfId="2548" applyNumberFormat="1" applyFont="1" applyFill="1" applyBorder="1" applyAlignment="1">
      <alignment vertical="center"/>
    </xf>
    <xf numFmtId="174" fontId="148" fillId="60" borderId="12" xfId="603" applyFont="1" applyFill="1" applyBorder="1" applyAlignment="1">
      <alignment horizontal="center" vertical="center"/>
    </xf>
    <xf numFmtId="174" fontId="148" fillId="60" borderId="12" xfId="603" applyFont="1" applyFill="1" applyBorder="1" applyAlignment="1">
      <alignment horizontal="center" vertical="center" wrapText="1"/>
    </xf>
    <xf numFmtId="3" fontId="190" fillId="0" borderId="16" xfId="0" applyNumberFormat="1" applyFont="1" applyBorder="1"/>
    <xf numFmtId="174" fontId="188" fillId="60" borderId="12" xfId="0" applyFont="1" applyFill="1" applyBorder="1" applyAlignment="1">
      <alignment horizontal="center" vertical="center" wrapText="1"/>
    </xf>
    <xf numFmtId="200" fontId="188" fillId="60" borderId="12" xfId="0" applyNumberFormat="1" applyFont="1" applyFill="1" applyBorder="1" applyAlignment="1">
      <alignment horizontal="center"/>
    </xf>
    <xf numFmtId="3" fontId="211" fillId="0" borderId="12" xfId="0" applyNumberFormat="1" applyFont="1" applyBorder="1"/>
    <xf numFmtId="171" fontId="211" fillId="0" borderId="12" xfId="521" applyNumberFormat="1" applyFont="1" applyFill="1" applyBorder="1" applyAlignment="1" applyProtection="1">
      <alignment horizontal="center" vertical="center" wrapText="1"/>
    </xf>
    <xf numFmtId="4" fontId="188" fillId="60" borderId="12" xfId="0" applyNumberFormat="1" applyFont="1" applyFill="1" applyBorder="1" applyAlignment="1">
      <alignment horizontal="center" vertical="center" wrapText="1"/>
    </xf>
    <xf numFmtId="4" fontId="188" fillId="60" borderId="12" xfId="0" applyNumberFormat="1" applyFont="1" applyFill="1" applyBorder="1" applyAlignment="1">
      <alignment horizontal="right" vertical="center" wrapText="1"/>
    </xf>
    <xf numFmtId="171" fontId="188" fillId="60" borderId="12" xfId="521" applyNumberFormat="1" applyFont="1" applyFill="1" applyBorder="1" applyAlignment="1">
      <alignment horizontal="center" vertical="center" wrapText="1"/>
    </xf>
    <xf numFmtId="10" fontId="293" fillId="0" borderId="0" xfId="521" applyNumberFormat="1" applyFont="1" applyAlignment="1">
      <alignment horizontal="right" indent="2"/>
    </xf>
    <xf numFmtId="0" fontId="367" fillId="73" borderId="46" xfId="333" applyFont="1" applyFill="1" applyBorder="1"/>
    <xf numFmtId="0" fontId="366" fillId="0" borderId="0" xfId="2613" applyFont="1"/>
    <xf numFmtId="0" fontId="367" fillId="73" borderId="46" xfId="2613" applyFont="1" applyFill="1" applyBorder="1"/>
    <xf numFmtId="0" fontId="367" fillId="73" borderId="46" xfId="2613" applyFont="1" applyFill="1" applyBorder="1" applyAlignment="1">
      <alignment horizontal="left"/>
    </xf>
    <xf numFmtId="0" fontId="305" fillId="73" borderId="98" xfId="2613" applyFont="1" applyFill="1" applyBorder="1" applyAlignment="1">
      <alignment horizontal="left"/>
    </xf>
    <xf numFmtId="4" fontId="367" fillId="83" borderId="96" xfId="2597" applyNumberFormat="1" applyFont="1" applyFill="1" applyBorder="1" applyAlignment="1">
      <alignment horizontal="right" vertical="center" wrapText="1"/>
    </xf>
    <xf numFmtId="4" fontId="367" fillId="83" borderId="46" xfId="2597" applyNumberFormat="1" applyFont="1" applyFill="1" applyBorder="1" applyAlignment="1">
      <alignment horizontal="right" vertical="center" wrapText="1"/>
    </xf>
    <xf numFmtId="0" fontId="367" fillId="73" borderId="97" xfId="2613" applyFont="1" applyFill="1" applyBorder="1" applyAlignment="1">
      <alignment horizontal="left"/>
    </xf>
    <xf numFmtId="4" fontId="367" fillId="83" borderId="97" xfId="2597" applyNumberFormat="1" applyFont="1" applyFill="1" applyBorder="1" applyAlignment="1">
      <alignment horizontal="right" vertical="center" wrapText="1"/>
    </xf>
    <xf numFmtId="4" fontId="305" fillId="83" borderId="98" xfId="2597" applyNumberFormat="1" applyFont="1" applyFill="1" applyBorder="1" applyAlignment="1">
      <alignment horizontal="right" wrapText="1"/>
    </xf>
    <xf numFmtId="0" fontId="2" fillId="0" borderId="0" xfId="319"/>
    <xf numFmtId="165" fontId="367" fillId="83" borderId="102" xfId="2612" applyFont="1" applyFill="1" applyBorder="1" applyAlignment="1">
      <alignment horizontal="right" vertical="center" wrapText="1"/>
    </xf>
    <xf numFmtId="165" fontId="367" fillId="83" borderId="99" xfId="2612" applyFont="1" applyFill="1" applyBorder="1" applyAlignment="1">
      <alignment horizontal="right" vertical="center" wrapText="1"/>
    </xf>
    <xf numFmtId="165" fontId="305" fillId="83" borderId="99" xfId="2612" applyFont="1" applyFill="1" applyBorder="1" applyAlignment="1">
      <alignment horizontal="right" vertical="center" wrapText="1"/>
    </xf>
    <xf numFmtId="0" fontId="367" fillId="73" borderId="102" xfId="742" applyFont="1" applyFill="1" applyBorder="1" applyAlignment="1">
      <alignment vertical="center"/>
    </xf>
    <xf numFmtId="165" fontId="305" fillId="83" borderId="102" xfId="2612" applyFont="1" applyFill="1" applyBorder="1" applyAlignment="1">
      <alignment horizontal="right" vertical="center" wrapText="1"/>
    </xf>
    <xf numFmtId="165" fontId="367" fillId="83" borderId="103" xfId="2612" applyFont="1" applyFill="1" applyBorder="1" applyAlignment="1">
      <alignment horizontal="right" vertical="center" wrapText="1"/>
    </xf>
    <xf numFmtId="165" fontId="305" fillId="83" borderId="103" xfId="2612" applyFont="1" applyFill="1" applyBorder="1" applyAlignment="1">
      <alignment horizontal="right" vertical="center" wrapText="1"/>
    </xf>
    <xf numFmtId="165" fontId="305" fillId="83" borderId="101" xfId="2612" applyFont="1" applyFill="1" applyBorder="1" applyAlignment="1">
      <alignment horizontal="right" vertical="center" wrapText="1"/>
    </xf>
    <xf numFmtId="0" fontId="367" fillId="73" borderId="102" xfId="2613" applyFont="1" applyFill="1" applyBorder="1" applyAlignment="1">
      <alignment vertical="center"/>
    </xf>
    <xf numFmtId="0" fontId="366" fillId="0" borderId="0" xfId="2613" applyFont="1" applyAlignment="1">
      <alignment vertical="center"/>
    </xf>
    <xf numFmtId="0" fontId="367" fillId="0" borderId="0" xfId="2613" applyFont="1" applyAlignment="1">
      <alignment vertical="center"/>
    </xf>
    <xf numFmtId="0" fontId="368" fillId="82" borderId="100" xfId="2613" applyFont="1" applyFill="1" applyBorder="1" applyAlignment="1">
      <alignment horizontal="center" vertical="center" wrapText="1"/>
    </xf>
    <xf numFmtId="0" fontId="367" fillId="73" borderId="102" xfId="2613" applyFont="1" applyFill="1" applyBorder="1" applyAlignment="1">
      <alignment horizontal="left" vertical="center"/>
    </xf>
    <xf numFmtId="0" fontId="367" fillId="73" borderId="103" xfId="2613" applyFont="1" applyFill="1" applyBorder="1" applyAlignment="1">
      <alignment horizontal="left" vertical="center"/>
    </xf>
    <xf numFmtId="0" fontId="305" fillId="73" borderId="101" xfId="2613" applyFont="1" applyFill="1" applyBorder="1" applyAlignment="1">
      <alignment horizontal="left" vertical="center"/>
    </xf>
    <xf numFmtId="0" fontId="367" fillId="73" borderId="99" xfId="2613" applyFont="1" applyFill="1" applyBorder="1" applyAlignment="1">
      <alignment vertical="center"/>
    </xf>
    <xf numFmtId="0" fontId="305" fillId="73" borderId="94" xfId="2613" applyFont="1" applyFill="1" applyBorder="1" applyAlignment="1">
      <alignment horizontal="left" vertical="center"/>
    </xf>
    <xf numFmtId="4" fontId="367" fillId="83" borderId="102" xfId="2612" applyNumberFormat="1" applyFont="1" applyFill="1" applyBorder="1" applyAlignment="1">
      <alignment horizontal="right" vertical="center"/>
    </xf>
    <xf numFmtId="4" fontId="305" fillId="83" borderId="94" xfId="2612" applyNumberFormat="1" applyFont="1" applyFill="1" applyBorder="1" applyAlignment="1">
      <alignment horizontal="right" vertical="center"/>
    </xf>
    <xf numFmtId="201" fontId="371" fillId="83" borderId="108" xfId="2612" applyNumberFormat="1" applyFont="1" applyFill="1" applyBorder="1" applyAlignment="1">
      <alignment horizontal="right" vertical="center"/>
    </xf>
    <xf numFmtId="201" fontId="371" fillId="83" borderId="109" xfId="2612" applyNumberFormat="1" applyFont="1" applyFill="1" applyBorder="1" applyAlignment="1">
      <alignment horizontal="right" vertical="center"/>
    </xf>
    <xf numFmtId="201" fontId="371" fillId="83" borderId="110" xfId="2612" applyNumberFormat="1" applyFont="1" applyFill="1" applyBorder="1" applyAlignment="1">
      <alignment horizontal="right" vertical="center"/>
    </xf>
    <xf numFmtId="174" fontId="94" fillId="25" borderId="12" xfId="0" applyFont="1" applyFill="1" applyBorder="1" applyAlignment="1">
      <alignment horizontal="left" vertical="top" indent="1"/>
    </xf>
    <xf numFmtId="3" fontId="94" fillId="25" borderId="12" xfId="0" applyNumberFormat="1" applyFont="1" applyFill="1" applyBorder="1" applyAlignment="1">
      <alignment horizontal="left" vertical="top" indent="1"/>
    </xf>
    <xf numFmtId="168" fontId="177" fillId="0" borderId="12" xfId="294" applyNumberFormat="1" applyFont="1" applyFill="1" applyBorder="1" applyAlignment="1">
      <alignment horizontal="center" vertical="center"/>
    </xf>
    <xf numFmtId="168" fontId="182"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6" fillId="0" borderId="23" xfId="0" applyNumberFormat="1" applyFont="1" applyBorder="1" applyAlignment="1">
      <alignment horizontal="center" vertical="center" wrapText="1"/>
    </xf>
    <xf numFmtId="168" fontId="148" fillId="70" borderId="12" xfId="0" applyNumberFormat="1" applyFont="1" applyFill="1" applyBorder="1" applyAlignment="1">
      <alignment horizontal="right" vertical="center" wrapText="1"/>
    </xf>
    <xf numFmtId="171" fontId="204" fillId="70" borderId="34" xfId="0" applyNumberFormat="1" applyFont="1" applyFill="1" applyBorder="1" applyAlignment="1">
      <alignment horizontal="right"/>
    </xf>
    <xf numFmtId="171" fontId="204" fillId="70" borderId="25" xfId="0" applyNumberFormat="1" applyFont="1" applyFill="1" applyBorder="1" applyAlignment="1">
      <alignment horizontal="right"/>
    </xf>
    <xf numFmtId="1" fontId="213" fillId="70" borderId="12" xfId="307" applyNumberFormat="1" applyFont="1" applyFill="1" applyBorder="1" applyAlignment="1">
      <alignment horizontal="center" vertical="center" wrapText="1"/>
    </xf>
    <xf numFmtId="174" fontId="55" fillId="0" borderId="0" xfId="0" applyFont="1" applyAlignment="1">
      <alignment horizontal="center" vertical="top" wrapText="1"/>
    </xf>
    <xf numFmtId="174" fontId="55" fillId="0" borderId="0" xfId="0" applyFont="1" applyAlignment="1">
      <alignment horizontal="center" vertical="top"/>
    </xf>
    <xf numFmtId="41" fontId="120" fillId="25" borderId="12" xfId="2466" applyNumberFormat="1" applyFont="1" applyFill="1" applyBorder="1" applyAlignment="1">
      <alignment horizontal="right" vertical="center" wrapText="1"/>
    </xf>
    <xf numFmtId="174" fontId="234" fillId="0" borderId="12" xfId="0" applyFont="1" applyBorder="1" applyAlignment="1">
      <alignment wrapText="1"/>
    </xf>
    <xf numFmtId="41" fontId="176" fillId="0" borderId="12" xfId="0" applyNumberFormat="1" applyFont="1" applyBorder="1" applyAlignment="1">
      <alignment wrapText="1"/>
    </xf>
    <xf numFmtId="41" fontId="176" fillId="0" borderId="0" xfId="0" applyNumberFormat="1" applyFont="1" applyAlignment="1">
      <alignment wrapText="1"/>
    </xf>
    <xf numFmtId="171" fontId="176" fillId="0" borderId="0" xfId="521" applyNumberFormat="1" applyFont="1"/>
    <xf numFmtId="10" fontId="184" fillId="0" borderId="25" xfId="521" applyNumberFormat="1" applyFont="1" applyFill="1" applyBorder="1" applyAlignment="1">
      <alignment horizontal="center" vertical="center"/>
    </xf>
    <xf numFmtId="49" fontId="211" fillId="0" borderId="26" xfId="0" applyNumberFormat="1" applyFont="1" applyBorder="1" applyAlignment="1">
      <alignment horizontal="center" vertical="center"/>
    </xf>
    <xf numFmtId="43" fontId="178" fillId="0" borderId="0" xfId="0" applyNumberFormat="1" applyFont="1" applyAlignment="1">
      <alignment horizontal="right"/>
    </xf>
    <xf numFmtId="43" fontId="256" fillId="70" borderId="13" xfId="0" applyNumberFormat="1" applyFont="1" applyFill="1" applyBorder="1" applyAlignment="1">
      <alignment vertical="center" wrapText="1"/>
    </xf>
    <xf numFmtId="43" fontId="256" fillId="70" borderId="14" xfId="0" applyNumberFormat="1" applyFont="1" applyFill="1" applyBorder="1" applyAlignment="1">
      <alignment vertical="center" wrapText="1"/>
    </xf>
    <xf numFmtId="171" fontId="211" fillId="25" borderId="23" xfId="0" applyNumberFormat="1" applyFont="1" applyFill="1" applyBorder="1" applyAlignment="1">
      <alignment horizontal="center" vertical="center"/>
    </xf>
    <xf numFmtId="0" fontId="190" fillId="25" borderId="32" xfId="294" applyNumberFormat="1" applyFont="1" applyFill="1" applyBorder="1" applyAlignment="1">
      <alignment horizontal="center" vertical="center"/>
    </xf>
    <xf numFmtId="40" fontId="210" fillId="25" borderId="12" xfId="294" applyNumberFormat="1" applyFont="1" applyFill="1" applyBorder="1" applyAlignment="1">
      <alignment horizontal="right" vertical="center" indent="1"/>
    </xf>
    <xf numFmtId="49" fontId="190" fillId="25" borderId="32" xfId="294" applyNumberFormat="1" applyFont="1" applyFill="1" applyBorder="1" applyAlignment="1">
      <alignment horizontal="center" vertical="center"/>
    </xf>
    <xf numFmtId="49" fontId="267" fillId="25" borderId="32" xfId="712" applyNumberFormat="1" applyFont="1" applyFill="1" applyBorder="1" applyAlignment="1">
      <alignment horizontal="center" vertical="center"/>
    </xf>
    <xf numFmtId="49" fontId="213" fillId="70" borderId="12" xfId="307" applyNumberFormat="1" applyFont="1" applyFill="1" applyBorder="1" applyAlignment="1">
      <alignment horizontal="center" vertical="center" wrapText="1"/>
    </xf>
    <xf numFmtId="43" fontId="210" fillId="25" borderId="17" xfId="294" applyFont="1" applyFill="1" applyBorder="1" applyAlignment="1">
      <alignment vertical="center"/>
    </xf>
    <xf numFmtId="43" fontId="191" fillId="25" borderId="15" xfId="294" applyFont="1" applyFill="1" applyBorder="1" applyAlignment="1">
      <alignment vertical="center"/>
    </xf>
    <xf numFmtId="43" fontId="191" fillId="25" borderId="31" xfId="294" applyFont="1" applyFill="1" applyBorder="1" applyAlignment="1">
      <alignment vertical="center"/>
    </xf>
    <xf numFmtId="17" fontId="33" fillId="70" borderId="13" xfId="549" applyNumberFormat="1" applyFont="1" applyFill="1" applyBorder="1" applyAlignment="1">
      <alignment horizontal="center" vertical="center"/>
    </xf>
    <xf numFmtId="17" fontId="96"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6" fillId="25" borderId="12" xfId="521" applyNumberFormat="1" applyFont="1" applyFill="1" applyBorder="1" applyAlignment="1">
      <alignment horizontal="center"/>
    </xf>
    <xf numFmtId="49" fontId="60" fillId="0" borderId="32" xfId="0" applyNumberFormat="1" applyFont="1" applyBorder="1" applyAlignment="1">
      <alignment horizontal="center" vertical="center"/>
    </xf>
    <xf numFmtId="3" fontId="232" fillId="0" borderId="12" xfId="294" applyNumberFormat="1" applyFont="1" applyFill="1" applyBorder="1" applyAlignment="1">
      <alignment horizontal="right" vertical="center"/>
    </xf>
    <xf numFmtId="0" fontId="96" fillId="25" borderId="32" xfId="0" applyNumberFormat="1" applyFont="1" applyFill="1" applyBorder="1" applyAlignment="1">
      <alignment horizontal="center"/>
    </xf>
    <xf numFmtId="49" fontId="96" fillId="25" borderId="32" xfId="0" applyNumberFormat="1" applyFont="1" applyFill="1" applyBorder="1" applyAlignment="1">
      <alignment horizontal="center"/>
    </xf>
    <xf numFmtId="17" fontId="148" fillId="70" borderId="13" xfId="0" applyNumberFormat="1" applyFont="1" applyFill="1" applyBorder="1" applyAlignment="1">
      <alignment horizontal="center" vertical="center"/>
    </xf>
    <xf numFmtId="49" fontId="95" fillId="0" borderId="32" xfId="0" applyNumberFormat="1" applyFont="1" applyBorder="1" applyAlignment="1">
      <alignment horizontal="center" vertical="center"/>
    </xf>
    <xf numFmtId="0" fontId="182"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6" fillId="25" borderId="23" xfId="0" applyNumberFormat="1" applyFont="1" applyFill="1" applyBorder="1" applyAlignment="1">
      <alignment horizontal="center" vertical="center" wrapText="1"/>
    </xf>
    <xf numFmtId="49" fontId="182" fillId="25" borderId="32" xfId="0" applyNumberFormat="1" applyFont="1" applyFill="1" applyBorder="1" applyAlignment="1">
      <alignment horizontal="center"/>
    </xf>
    <xf numFmtId="0" fontId="213" fillId="70" borderId="12" xfId="889" applyFont="1" applyFill="1" applyBorder="1" applyAlignment="1">
      <alignment horizontal="center" vertical="center"/>
    </xf>
    <xf numFmtId="49" fontId="213" fillId="70" borderId="12" xfId="889" applyNumberFormat="1" applyFont="1" applyFill="1" applyBorder="1" applyAlignment="1">
      <alignment horizontal="center" vertical="center"/>
    </xf>
    <xf numFmtId="49" fontId="213" fillId="70" borderId="32" xfId="889" applyNumberFormat="1" applyFont="1" applyFill="1" applyBorder="1" applyAlignment="1">
      <alignment horizontal="center" vertical="center"/>
    </xf>
    <xf numFmtId="41" fontId="2" fillId="0" borderId="0" xfId="889" applyNumberFormat="1" applyFont="1" applyAlignment="1">
      <alignment vertical="center"/>
    </xf>
    <xf numFmtId="41" fontId="34" fillId="0" borderId="12" xfId="0" applyNumberFormat="1" applyFont="1" applyBorder="1"/>
    <xf numFmtId="41" fontId="94" fillId="0" borderId="12" xfId="0" applyNumberFormat="1" applyFont="1" applyBorder="1"/>
    <xf numFmtId="0" fontId="211" fillId="0" borderId="0" xfId="889" applyFont="1" applyAlignment="1">
      <alignment horizontal="left" vertical="center"/>
    </xf>
    <xf numFmtId="0" fontId="191" fillId="25" borderId="12" xfId="889" applyFont="1" applyFill="1" applyBorder="1" applyAlignment="1">
      <alignment horizontal="right" vertical="center"/>
    </xf>
    <xf numFmtId="174" fontId="350" fillId="80" borderId="23" xfId="0" applyFont="1" applyFill="1" applyBorder="1"/>
    <xf numFmtId="174" fontId="40" fillId="0" borderId="33" xfId="0" applyFont="1" applyBorder="1"/>
    <xf numFmtId="174" fontId="350" fillId="85" borderId="12" xfId="0" applyFont="1" applyFill="1" applyBorder="1" applyAlignment="1">
      <alignment vertical="center"/>
    </xf>
    <xf numFmtId="41" fontId="3" fillId="25" borderId="31" xfId="889" applyNumberFormat="1" applyFont="1" applyFill="1" applyBorder="1" applyAlignment="1">
      <alignment vertical="center"/>
    </xf>
    <xf numFmtId="41" fontId="0" fillId="0" borderId="12" xfId="0" applyNumberFormat="1" applyBorder="1"/>
    <xf numFmtId="0" fontId="202" fillId="0" borderId="12" xfId="889" applyFont="1" applyBorder="1" applyAlignment="1">
      <alignment horizontal="center" vertical="center"/>
    </xf>
    <xf numFmtId="168" fontId="174" fillId="0" borderId="12" xfId="294" applyNumberFormat="1" applyFont="1" applyBorder="1" applyAlignment="1">
      <alignment horizontal="center" vertical="center"/>
    </xf>
    <xf numFmtId="168" fontId="202" fillId="0" borderId="12" xfId="294" applyNumberFormat="1" applyFont="1" applyBorder="1" applyAlignment="1">
      <alignment horizontal="center" vertical="center"/>
    </xf>
    <xf numFmtId="0" fontId="174" fillId="0" borderId="17" xfId="889" applyFont="1" applyBorder="1" applyAlignment="1">
      <alignment horizontal="center" vertical="center"/>
    </xf>
    <xf numFmtId="0" fontId="202" fillId="0" borderId="111" xfId="889" applyFont="1" applyBorder="1" applyAlignment="1">
      <alignment horizontal="left" vertical="center"/>
    </xf>
    <xf numFmtId="0" fontId="174" fillId="0" borderId="12" xfId="889" applyFont="1" applyBorder="1" applyAlignment="1">
      <alignment horizontal="left" vertical="center"/>
    </xf>
    <xf numFmtId="41" fontId="34" fillId="0" borderId="0" xfId="0" applyNumberFormat="1" applyFont="1"/>
    <xf numFmtId="174" fontId="34" fillId="0" borderId="0" xfId="0" applyFont="1" applyAlignment="1">
      <alignment horizontal="center" vertical="center" wrapText="1"/>
    </xf>
    <xf numFmtId="174" fontId="350" fillId="27" borderId="12" xfId="0" applyFont="1" applyFill="1" applyBorder="1" applyAlignment="1">
      <alignment vertical="center"/>
    </xf>
    <xf numFmtId="41" fontId="0" fillId="27" borderId="12" xfId="0" applyNumberFormat="1" applyFill="1" applyBorder="1"/>
    <xf numFmtId="41" fontId="34" fillId="27" borderId="12" xfId="0" applyNumberFormat="1" applyFont="1" applyFill="1" applyBorder="1"/>
    <xf numFmtId="174" fontId="350" fillId="78" borderId="12" xfId="0" applyFont="1" applyFill="1" applyBorder="1" applyAlignment="1">
      <alignment vertical="center"/>
    </xf>
    <xf numFmtId="168" fontId="0" fillId="0" borderId="0" xfId="0" applyNumberFormat="1" applyAlignment="1">
      <alignment horizontal="center"/>
    </xf>
    <xf numFmtId="168" fontId="351" fillId="0" borderId="12" xfId="0" applyNumberFormat="1" applyFont="1" applyBorder="1" applyAlignment="1">
      <alignment horizontal="center" vertical="center"/>
    </xf>
    <xf numFmtId="168" fontId="0" fillId="0" borderId="0" xfId="0" applyNumberFormat="1"/>
    <xf numFmtId="168" fontId="351" fillId="84" borderId="12" xfId="0" applyNumberFormat="1" applyFont="1" applyFill="1" applyBorder="1" applyAlignment="1">
      <alignment horizontal="center" vertical="center"/>
    </xf>
    <xf numFmtId="168" fontId="40" fillId="0" borderId="33" xfId="0" applyNumberFormat="1" applyFont="1" applyBorder="1"/>
    <xf numFmtId="41" fontId="123" fillId="0" borderId="12" xfId="2466" applyNumberFormat="1" applyFont="1" applyBorder="1" applyAlignment="1">
      <alignment horizontal="center" vertical="center" wrapText="1"/>
    </xf>
    <xf numFmtId="174" fontId="234" fillId="0" borderId="12" xfId="0" applyFont="1" applyBorder="1" applyAlignment="1">
      <alignment vertical="center" wrapText="1"/>
    </xf>
    <xf numFmtId="174" fontId="234" fillId="0" borderId="0" xfId="0" applyFont="1" applyAlignment="1">
      <alignment vertical="center"/>
    </xf>
    <xf numFmtId="179" fontId="234" fillId="0" borderId="12" xfId="0" applyNumberFormat="1" applyFont="1" applyBorder="1" applyAlignment="1">
      <alignment vertical="center"/>
    </xf>
    <xf numFmtId="4" fontId="95" fillId="0" borderId="12" xfId="299" applyNumberFormat="1" applyFont="1" applyFill="1" applyBorder="1" applyAlignment="1">
      <alignment horizontal="center" vertical="center"/>
    </xf>
    <xf numFmtId="4" fontId="95" fillId="0" borderId="23" xfId="299" applyNumberFormat="1" applyFont="1" applyFill="1" applyBorder="1" applyAlignment="1">
      <alignment horizontal="center" vertical="center"/>
    </xf>
    <xf numFmtId="171" fontId="95" fillId="0" borderId="23" xfId="521" applyNumberFormat="1" applyFont="1" applyFill="1" applyBorder="1" applyAlignment="1">
      <alignment horizontal="center" vertical="top"/>
    </xf>
    <xf numFmtId="4" fontId="95" fillId="25" borderId="12" xfId="299" applyNumberFormat="1" applyFont="1" applyFill="1" applyBorder="1" applyAlignment="1">
      <alignment horizontal="center" vertical="center"/>
    </xf>
    <xf numFmtId="4" fontId="95" fillId="25" borderId="12" xfId="299" applyNumberFormat="1" applyFont="1" applyFill="1" applyBorder="1" applyAlignment="1">
      <alignment horizontal="center" vertical="top"/>
    </xf>
    <xf numFmtId="4" fontId="95" fillId="25" borderId="34" xfId="299" applyNumberFormat="1" applyFont="1" applyFill="1" applyBorder="1" applyAlignment="1">
      <alignment horizontal="center" vertical="top"/>
    </xf>
    <xf numFmtId="4" fontId="95" fillId="0" borderId="34" xfId="299" applyNumberFormat="1" applyFont="1" applyFill="1" applyBorder="1" applyAlignment="1">
      <alignment horizontal="center" vertical="center"/>
    </xf>
    <xf numFmtId="171" fontId="174" fillId="25" borderId="34" xfId="365" applyNumberFormat="1" applyFont="1" applyFill="1" applyBorder="1" applyAlignment="1">
      <alignment horizontal="right" vertical="top"/>
    </xf>
    <xf numFmtId="43" fontId="174" fillId="25" borderId="25" xfId="365" applyNumberFormat="1" applyFont="1" applyFill="1" applyBorder="1" applyAlignment="1">
      <alignment horizontal="right" vertical="top"/>
    </xf>
    <xf numFmtId="10" fontId="211" fillId="0" borderId="23" xfId="359" applyNumberFormat="1" applyFont="1" applyBorder="1" applyAlignment="1">
      <alignment horizontal="center" vertical="center"/>
    </xf>
    <xf numFmtId="10" fontId="211" fillId="0" borderId="25" xfId="359" applyNumberFormat="1" applyFont="1" applyBorder="1" applyAlignment="1">
      <alignment horizontal="center" vertical="center"/>
    </xf>
    <xf numFmtId="43" fontId="157" fillId="70" borderId="0" xfId="294" applyFont="1" applyFill="1"/>
    <xf numFmtId="43" fontId="180" fillId="0" borderId="0" xfId="294" applyFont="1"/>
    <xf numFmtId="40" fontId="210" fillId="0" borderId="12" xfId="294" applyNumberFormat="1" applyFont="1" applyBorder="1" applyAlignment="1">
      <alignment horizontal="right" vertical="center" indent="1"/>
    </xf>
    <xf numFmtId="40" fontId="210" fillId="27" borderId="12" xfId="294" applyNumberFormat="1" applyFont="1" applyFill="1" applyBorder="1" applyAlignment="1">
      <alignment horizontal="right" vertical="center" indent="1"/>
    </xf>
    <xf numFmtId="43" fontId="384" fillId="0" borderId="25" xfId="294" applyFont="1" applyBorder="1" applyAlignment="1">
      <alignment horizontal="center"/>
    </xf>
    <xf numFmtId="43" fontId="384" fillId="0" borderId="26" xfId="294" applyFont="1" applyBorder="1" applyAlignment="1">
      <alignment horizontal="center"/>
    </xf>
    <xf numFmtId="43" fontId="0" fillId="0" borderId="31" xfId="294" applyFont="1" applyBorder="1"/>
    <xf numFmtId="40" fontId="0" fillId="0" borderId="17" xfId="0" applyNumberFormat="1" applyBorder="1"/>
    <xf numFmtId="43" fontId="0" fillId="0" borderId="14" xfId="294" applyFont="1" applyBorder="1"/>
    <xf numFmtId="40" fontId="0" fillId="0" borderId="16" xfId="0" applyNumberFormat="1" applyBorder="1"/>
    <xf numFmtId="174" fontId="210" fillId="0" borderId="0" xfId="0" applyFont="1" applyAlignment="1">
      <alignment horizontal="center" vertical="center" wrapText="1"/>
    </xf>
    <xf numFmtId="174" fontId="213" fillId="70" borderId="16" xfId="0" applyFont="1" applyFill="1" applyBorder="1" applyAlignment="1">
      <alignment horizontal="center" vertical="center"/>
    </xf>
    <xf numFmtId="174" fontId="213" fillId="70" borderId="13" xfId="0" applyFont="1" applyFill="1" applyBorder="1" applyAlignment="1">
      <alignment horizontal="center" vertical="center" wrapText="1"/>
    </xf>
    <xf numFmtId="43" fontId="384" fillId="0" borderId="25" xfId="294" applyFont="1" applyBorder="1" applyAlignment="1">
      <alignment horizontal="center" wrapText="1"/>
    </xf>
    <xf numFmtId="0" fontId="190" fillId="0" borderId="12" xfId="294" applyNumberFormat="1" applyFont="1" applyBorder="1" applyAlignment="1">
      <alignment horizontal="center" vertical="center"/>
    </xf>
    <xf numFmtId="43" fontId="0" fillId="0" borderId="17" xfId="294" applyFont="1" applyBorder="1"/>
    <xf numFmtId="40" fontId="349" fillId="0" borderId="12" xfId="294" applyNumberFormat="1" applyFont="1" applyBorder="1" applyAlignment="1">
      <alignment horizontal="right" vertical="center" indent="1"/>
    </xf>
    <xf numFmtId="43" fontId="0" fillId="0" borderId="16" xfId="294" applyFont="1" applyBorder="1"/>
    <xf numFmtId="43" fontId="386" fillId="0" borderId="0" xfId="294" applyFont="1"/>
    <xf numFmtId="174" fontId="386" fillId="0" borderId="0" xfId="0" applyFont="1"/>
    <xf numFmtId="43" fontId="386" fillId="0" borderId="0" xfId="0" applyNumberFormat="1" applyFont="1"/>
    <xf numFmtId="43" fontId="386" fillId="0" borderId="0" xfId="294" applyFont="1" applyAlignment="1"/>
    <xf numFmtId="0" fontId="58" fillId="88" borderId="12" xfId="480" applyFont="1" applyFill="1" applyBorder="1" applyAlignment="1">
      <alignment horizontal="center" wrapText="1"/>
    </xf>
    <xf numFmtId="0" fontId="190" fillId="0" borderId="31" xfId="712" applyFont="1" applyBorder="1" applyAlignment="1">
      <alignment horizontal="center" vertical="center"/>
    </xf>
    <xf numFmtId="43" fontId="386" fillId="0" borderId="15" xfId="294" applyFont="1" applyBorder="1"/>
    <xf numFmtId="43" fontId="386" fillId="0" borderId="17" xfId="294" applyFont="1" applyBorder="1"/>
    <xf numFmtId="0" fontId="190" fillId="0" borderId="14" xfId="712" applyFont="1" applyBorder="1" applyAlignment="1">
      <alignment horizontal="center" vertical="center"/>
    </xf>
    <xf numFmtId="43" fontId="386" fillId="0" borderId="13" xfId="294" applyFont="1" applyBorder="1"/>
    <xf numFmtId="43" fontId="386" fillId="0" borderId="16" xfId="294" applyFont="1" applyBorder="1"/>
    <xf numFmtId="43" fontId="58" fillId="88" borderId="12" xfId="480" applyNumberFormat="1" applyFont="1" applyFill="1" applyBorder="1" applyAlignment="1">
      <alignment horizontal="center"/>
    </xf>
    <xf numFmtId="0" fontId="36" fillId="25" borderId="12" xfId="480" applyFont="1" applyFill="1" applyBorder="1" applyAlignment="1">
      <alignment horizontal="center"/>
    </xf>
    <xf numFmtId="43" fontId="36" fillId="25" borderId="12" xfId="480" applyNumberFormat="1" applyFont="1" applyFill="1" applyBorder="1" applyAlignment="1">
      <alignment horizontal="right"/>
    </xf>
    <xf numFmtId="174" fontId="383" fillId="86" borderId="12" xfId="0" applyFont="1" applyFill="1" applyBorder="1" applyAlignment="1">
      <alignment horizontal="center" vertical="center"/>
    </xf>
    <xf numFmtId="174" fontId="388" fillId="86" borderId="12" xfId="0" applyFont="1" applyFill="1" applyBorder="1" applyAlignment="1">
      <alignment horizontal="center" vertical="center"/>
    </xf>
    <xf numFmtId="174" fontId="383" fillId="86" borderId="34" xfId="0" applyFont="1" applyFill="1" applyBorder="1" applyAlignment="1">
      <alignment horizontal="center" vertical="center"/>
    </xf>
    <xf numFmtId="174" fontId="390" fillId="0" borderId="0" xfId="0" applyFont="1"/>
    <xf numFmtId="0" fontId="391" fillId="70" borderId="12" xfId="712" applyFont="1" applyFill="1" applyBorder="1" applyAlignment="1">
      <alignment horizontal="center" vertical="center"/>
    </xf>
    <xf numFmtId="0" fontId="391" fillId="70" borderId="12" xfId="712" applyFont="1" applyFill="1" applyBorder="1" applyAlignment="1">
      <alignment horizontal="center" vertical="center" wrapText="1"/>
    </xf>
    <xf numFmtId="43" fontId="392" fillId="0" borderId="0" xfId="294" applyFont="1"/>
    <xf numFmtId="174" fontId="392" fillId="0" borderId="0" xfId="0" applyFont="1"/>
    <xf numFmtId="0" fontId="257" fillId="0" borderId="12" xfId="712" applyFont="1" applyBorder="1" applyAlignment="1">
      <alignment horizontal="center" vertical="center"/>
    </xf>
    <xf numFmtId="43" fontId="227" fillId="0" borderId="12" xfId="294" applyFont="1" applyBorder="1" applyAlignment="1">
      <alignment horizontal="center" vertical="center"/>
    </xf>
    <xf numFmtId="43" fontId="257" fillId="0" borderId="12" xfId="294" applyFont="1" applyBorder="1" applyAlignment="1">
      <alignment horizontal="center" vertical="center"/>
    </xf>
    <xf numFmtId="43" fontId="392" fillId="0" borderId="0" xfId="0" applyNumberFormat="1" applyFont="1"/>
    <xf numFmtId="0" fontId="393" fillId="0" borderId="12" xfId="712" applyFont="1" applyBorder="1" applyAlignment="1">
      <alignment horizontal="center" vertical="center"/>
    </xf>
    <xf numFmtId="43" fontId="394" fillId="0" borderId="12" xfId="294" applyFont="1" applyBorder="1" applyAlignment="1">
      <alignment horizontal="center" vertical="center"/>
    </xf>
    <xf numFmtId="43" fontId="394" fillId="87" borderId="12" xfId="294" applyFont="1" applyFill="1" applyBorder="1" applyAlignment="1">
      <alignment horizontal="center" vertical="center"/>
    </xf>
    <xf numFmtId="0" fontId="393" fillId="25" borderId="12" xfId="712" applyFont="1" applyFill="1" applyBorder="1" applyAlignment="1">
      <alignment horizontal="center" vertical="center"/>
    </xf>
    <xf numFmtId="43" fontId="394" fillId="25" borderId="12" xfId="294" applyFont="1" applyFill="1" applyBorder="1" applyAlignment="1">
      <alignment horizontal="center" vertical="center"/>
    </xf>
    <xf numFmtId="0" fontId="257" fillId="25" borderId="12" xfId="712" applyFont="1" applyFill="1" applyBorder="1" applyAlignment="1">
      <alignment horizontal="center" vertical="center"/>
    </xf>
    <xf numFmtId="43" fontId="227" fillId="25" borderId="12" xfId="294" applyFont="1" applyFill="1" applyBorder="1" applyAlignment="1">
      <alignment horizontal="center" vertical="center"/>
    </xf>
    <xf numFmtId="44" fontId="392" fillId="0" borderId="0" xfId="2614" applyFont="1"/>
    <xf numFmtId="174" fontId="209" fillId="70" borderId="0" xfId="0" applyFont="1" applyFill="1" applyAlignment="1">
      <alignment horizontal="center" vertical="center" wrapText="1"/>
    </xf>
    <xf numFmtId="174" fontId="149" fillId="0" borderId="0" xfId="0" applyFont="1" applyAlignment="1">
      <alignment horizontal="right"/>
    </xf>
    <xf numFmtId="174" fontId="149" fillId="0" borderId="12" xfId="362" applyFont="1" applyBorder="1" applyAlignment="1">
      <alignment horizontal="left" vertical="center"/>
    </xf>
    <xf numFmtId="4" fontId="396" fillId="0" borderId="12" xfId="0" applyNumberFormat="1" applyFont="1" applyBorder="1" applyAlignment="1">
      <alignment horizontal="right"/>
    </xf>
    <xf numFmtId="174" fontId="182" fillId="0" borderId="12" xfId="0" applyFont="1" applyBorder="1" applyAlignment="1">
      <alignment horizontal="center" vertical="center" wrapText="1"/>
    </xf>
    <xf numFmtId="4" fontId="177" fillId="0" borderId="12" xfId="0" applyNumberFormat="1" applyFont="1" applyBorder="1" applyAlignment="1">
      <alignment horizontal="center" vertical="center"/>
    </xf>
    <xf numFmtId="174" fontId="182" fillId="0" borderId="12" xfId="0" applyFont="1" applyBorder="1" applyAlignment="1">
      <alignment horizontal="center" vertical="center"/>
    </xf>
    <xf numFmtId="174" fontId="397" fillId="89" borderId="112" xfId="0" applyFont="1" applyFill="1" applyBorder="1" applyAlignment="1">
      <alignment horizontal="center" vertical="center" wrapText="1"/>
    </xf>
    <xf numFmtId="174" fontId="397" fillId="89" borderId="113" xfId="0" applyFont="1" applyFill="1" applyBorder="1" applyAlignment="1">
      <alignment horizontal="center" vertical="center" wrapText="1"/>
    </xf>
    <xf numFmtId="174" fontId="302" fillId="72" borderId="114" xfId="0" applyFont="1" applyFill="1" applyBorder="1" applyAlignment="1">
      <alignment vertical="center" wrapText="1"/>
    </xf>
    <xf numFmtId="174" fontId="302" fillId="72" borderId="115" xfId="0" applyFont="1" applyFill="1" applyBorder="1" applyAlignment="1">
      <alignment vertical="center" wrapText="1"/>
    </xf>
    <xf numFmtId="174" fontId="302" fillId="72" borderId="116" xfId="0" applyFont="1" applyFill="1" applyBorder="1" applyAlignment="1">
      <alignment vertical="center" wrapText="1"/>
    </xf>
    <xf numFmtId="174" fontId="208" fillId="0" borderId="0" xfId="0" applyFont="1"/>
    <xf numFmtId="174" fontId="208" fillId="70" borderId="0" xfId="0" applyFont="1" applyFill="1"/>
    <xf numFmtId="174" fontId="398" fillId="89" borderId="113" xfId="0" applyFont="1" applyFill="1" applyBorder="1" applyAlignment="1">
      <alignment horizontal="center" vertical="center" wrapText="1"/>
    </xf>
    <xf numFmtId="174" fontId="398" fillId="72" borderId="71" xfId="0" applyFont="1" applyFill="1" applyBorder="1" applyAlignment="1">
      <alignment vertical="center" wrapText="1"/>
    </xf>
    <xf numFmtId="174" fontId="398" fillId="72" borderId="116" xfId="0" applyFont="1" applyFill="1" applyBorder="1" applyAlignment="1">
      <alignment vertical="center" wrapText="1"/>
    </xf>
    <xf numFmtId="174" fontId="307" fillId="70" borderId="0" xfId="0" applyFont="1" applyFill="1"/>
    <xf numFmtId="174" fontId="307" fillId="0" borderId="0" xfId="0" applyFont="1"/>
    <xf numFmtId="174" fontId="307" fillId="0" borderId="0" xfId="0" applyFont="1" applyAlignment="1">
      <alignment vertical="center"/>
    </xf>
    <xf numFmtId="174" fontId="398" fillId="72" borderId="73" xfId="0" applyFont="1" applyFill="1" applyBorder="1" applyAlignment="1">
      <alignment horizontal="center" vertical="center" wrapText="1"/>
    </xf>
    <xf numFmtId="174" fontId="385" fillId="70" borderId="0" xfId="0" applyFont="1" applyFill="1"/>
    <xf numFmtId="174" fontId="385" fillId="0" borderId="0" xfId="0" applyFont="1"/>
    <xf numFmtId="174" fontId="94" fillId="0" borderId="0" xfId="0" applyFont="1"/>
    <xf numFmtId="174" fontId="398" fillId="72" borderId="75" xfId="0" applyFont="1" applyFill="1" applyBorder="1" applyAlignment="1">
      <alignment vertical="center" wrapText="1"/>
    </xf>
    <xf numFmtId="174" fontId="385" fillId="0" borderId="0" xfId="0" applyFont="1" applyAlignment="1">
      <alignment vertical="center"/>
    </xf>
    <xf numFmtId="174" fontId="397" fillId="89" borderId="117" xfId="0" applyFont="1" applyFill="1" applyBorder="1" applyAlignment="1">
      <alignment horizontal="center" vertical="center" wrapText="1"/>
    </xf>
    <xf numFmtId="174" fontId="302" fillId="72" borderId="118" xfId="0" applyFont="1" applyFill="1" applyBorder="1" applyAlignment="1">
      <alignment vertical="center" wrapText="1"/>
    </xf>
    <xf numFmtId="174" fontId="400" fillId="72" borderId="115" xfId="0" applyFont="1" applyFill="1" applyBorder="1" applyAlignment="1">
      <alignment vertical="center" wrapText="1"/>
    </xf>
    <xf numFmtId="174" fontId="400" fillId="72" borderId="116" xfId="0" applyFont="1" applyFill="1" applyBorder="1" applyAlignment="1">
      <alignment vertical="center" wrapText="1"/>
    </xf>
    <xf numFmtId="174" fontId="400" fillId="72" borderId="119" xfId="0" applyFont="1" applyFill="1" applyBorder="1" applyAlignment="1">
      <alignment vertical="center" wrapText="1"/>
    </xf>
    <xf numFmtId="174" fontId="401" fillId="72" borderId="71" xfId="0" applyFont="1" applyFill="1" applyBorder="1" applyAlignment="1">
      <alignment vertical="center" wrapText="1"/>
    </xf>
    <xf numFmtId="174" fontId="401" fillId="72" borderId="118" xfId="0" applyFont="1" applyFill="1" applyBorder="1" applyAlignment="1">
      <alignment vertical="center" wrapText="1"/>
    </xf>
    <xf numFmtId="174" fontId="302" fillId="72" borderId="119" xfId="0" applyFont="1" applyFill="1" applyBorder="1" applyAlignment="1">
      <alignment vertical="center" wrapText="1"/>
    </xf>
    <xf numFmtId="174" fontId="208" fillId="0" borderId="0" xfId="0" applyFont="1" applyAlignment="1">
      <alignment vertical="center"/>
    </xf>
    <xf numFmtId="174" fontId="350" fillId="80" borderId="12" xfId="0" applyFont="1" applyFill="1" applyBorder="1" applyAlignment="1">
      <alignment horizontal="center" vertical="center"/>
    </xf>
    <xf numFmtId="174" fontId="350" fillId="90" borderId="12" xfId="0" applyFont="1" applyFill="1" applyBorder="1" applyAlignment="1">
      <alignment horizontal="center" vertical="center"/>
    </xf>
    <xf numFmtId="174" fontId="350" fillId="81" borderId="12" xfId="0" applyFont="1" applyFill="1" applyBorder="1" applyAlignment="1">
      <alignment horizontal="center" vertical="center"/>
    </xf>
    <xf numFmtId="174" fontId="402" fillId="0" borderId="12" xfId="0" applyFont="1" applyBorder="1" applyAlignment="1">
      <alignment vertical="center"/>
    </xf>
    <xf numFmtId="174" fontId="40" fillId="0" borderId="12" xfId="0" applyFont="1" applyBorder="1"/>
    <xf numFmtId="174" fontId="351" fillId="91" borderId="12" xfId="0" applyFont="1" applyFill="1" applyBorder="1"/>
    <xf numFmtId="174" fontId="351" fillId="90" borderId="12" xfId="0" applyFont="1" applyFill="1" applyBorder="1"/>
    <xf numFmtId="174" fontId="351" fillId="81" borderId="12" xfId="0" applyFont="1" applyFill="1" applyBorder="1"/>
    <xf numFmtId="174" fontId="40" fillId="0" borderId="0" xfId="0" applyFont="1"/>
    <xf numFmtId="174" fontId="351" fillId="84" borderId="12" xfId="0" applyFont="1" applyFill="1" applyBorder="1" applyAlignment="1">
      <alignment horizontal="center" vertical="center"/>
    </xf>
    <xf numFmtId="174" fontId="350" fillId="80" borderId="33" xfId="0" applyFont="1" applyFill="1" applyBorder="1"/>
    <xf numFmtId="174" fontId="350" fillId="90" borderId="33" xfId="0" applyFont="1" applyFill="1" applyBorder="1"/>
    <xf numFmtId="174" fontId="350" fillId="81" borderId="33" xfId="0" applyFont="1" applyFill="1" applyBorder="1"/>
    <xf numFmtId="174" fontId="378" fillId="0" borderId="12" xfId="0" applyFont="1" applyBorder="1" applyAlignment="1">
      <alignment horizontal="center" vertical="center"/>
    </xf>
    <xf numFmtId="174" fontId="403" fillId="0" borderId="12" xfId="0" applyFont="1" applyBorder="1" applyAlignment="1">
      <alignment vertical="center"/>
    </xf>
    <xf numFmtId="174" fontId="363" fillId="0" borderId="12" xfId="0" applyFont="1" applyBorder="1"/>
    <xf numFmtId="174" fontId="378" fillId="91" borderId="12" xfId="0" applyFont="1" applyFill="1" applyBorder="1"/>
    <xf numFmtId="174" fontId="378" fillId="90" borderId="12" xfId="0" applyFont="1" applyFill="1" applyBorder="1"/>
    <xf numFmtId="174" fontId="378" fillId="81" borderId="12" xfId="0" applyFont="1" applyFill="1" applyBorder="1"/>
    <xf numFmtId="174" fontId="404" fillId="80" borderId="26" xfId="0" applyFont="1" applyFill="1" applyBorder="1" applyAlignment="1">
      <alignment horizontal="center" vertical="center"/>
    </xf>
    <xf numFmtId="174" fontId="94" fillId="81" borderId="12" xfId="0" applyFont="1" applyFill="1" applyBorder="1" applyAlignment="1">
      <alignment horizontal="center"/>
    </xf>
    <xf numFmtId="174" fontId="404" fillId="80" borderId="17" xfId="0" applyFont="1" applyFill="1" applyBorder="1" applyAlignment="1">
      <alignment horizontal="center" vertical="center"/>
    </xf>
    <xf numFmtId="174" fontId="404" fillId="81" borderId="34" xfId="0" applyFont="1" applyFill="1" applyBorder="1" applyAlignment="1">
      <alignment horizontal="center" vertical="center"/>
    </xf>
    <xf numFmtId="174" fontId="405" fillId="81" borderId="34" xfId="0" applyFont="1" applyFill="1" applyBorder="1" applyAlignment="1">
      <alignment horizontal="center" vertical="center"/>
    </xf>
    <xf numFmtId="0" fontId="208" fillId="0" borderId="0" xfId="889" applyFont="1"/>
    <xf numFmtId="0" fontId="182" fillId="70" borderId="0" xfId="889" applyFont="1" applyFill="1"/>
    <xf numFmtId="0" fontId="182" fillId="0" borderId="0" xfId="889" applyFont="1"/>
    <xf numFmtId="0" fontId="211" fillId="0" borderId="12" xfId="889" applyFont="1" applyBorder="1" applyAlignment="1">
      <alignment vertical="center"/>
    </xf>
    <xf numFmtId="0" fontId="188" fillId="70" borderId="12" xfId="889" applyFont="1" applyFill="1" applyBorder="1" applyAlignment="1">
      <alignment horizontal="right" vertical="center" wrapText="1"/>
    </xf>
    <xf numFmtId="49" fontId="188" fillId="70" borderId="12" xfId="889" applyNumberFormat="1" applyFont="1" applyFill="1" applyBorder="1" applyAlignment="1">
      <alignment horizontal="center" vertical="center" wrapText="1"/>
    </xf>
    <xf numFmtId="171" fontId="202" fillId="0" borderId="0" xfId="521" applyNumberFormat="1" applyFont="1" applyAlignment="1">
      <alignment horizontal="left" vertical="center"/>
    </xf>
    <xf numFmtId="41" fontId="406" fillId="25" borderId="12" xfId="294" applyNumberFormat="1" applyFont="1" applyFill="1" applyBorder="1" applyAlignment="1">
      <alignment horizontal="right"/>
    </xf>
    <xf numFmtId="174" fontId="351" fillId="81" borderId="120" xfId="0" applyFont="1" applyFill="1" applyBorder="1" applyAlignment="1">
      <alignment horizontal="center"/>
    </xf>
    <xf numFmtId="174" fontId="279" fillId="27" borderId="0" xfId="890" applyFont="1" applyFill="1" applyAlignment="1">
      <alignment horizontal="center" vertical="center" wrapText="1"/>
    </xf>
    <xf numFmtId="174" fontId="279" fillId="27" borderId="0" xfId="890" applyFont="1" applyFill="1" applyAlignment="1">
      <alignment horizontal="center" vertical="center"/>
    </xf>
    <xf numFmtId="0" fontId="50" fillId="27" borderId="44" xfId="1203" applyFont="1" applyFill="1" applyBorder="1" applyAlignment="1">
      <alignment horizontal="center" vertical="center" wrapText="1"/>
    </xf>
    <xf numFmtId="0" fontId="50" fillId="27" borderId="43" xfId="1203" applyFont="1" applyFill="1" applyBorder="1" applyAlignment="1">
      <alignment horizontal="center" vertical="center" wrapText="1"/>
    </xf>
    <xf numFmtId="0" fontId="50"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7" fillId="0" borderId="0" xfId="2547" applyFont="1" applyAlignment="1">
      <alignment horizontal="center" vertical="center"/>
    </xf>
    <xf numFmtId="180" fontId="127" fillId="0" borderId="0" xfId="2547" applyFont="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5" borderId="44" xfId="1203" applyFont="1" applyFill="1" applyBorder="1" applyAlignment="1">
      <alignment horizontal="center" vertical="center" wrapText="1"/>
    </xf>
    <xf numFmtId="0" fontId="49" fillId="25" borderId="43" xfId="1203" applyFont="1" applyFill="1" applyBorder="1" applyAlignment="1">
      <alignment horizontal="center" vertical="center" wrapText="1"/>
    </xf>
    <xf numFmtId="0" fontId="49"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9" fillId="0" borderId="44" xfId="1203" applyFont="1" applyBorder="1" applyAlignment="1">
      <alignment horizontal="center" vertical="center" wrapText="1"/>
    </xf>
    <xf numFmtId="0" fontId="49"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50" fillId="25" borderId="35" xfId="1203" applyFont="1" applyFill="1" applyBorder="1" applyAlignment="1">
      <alignment horizontal="center" vertical="center" wrapText="1"/>
    </xf>
    <xf numFmtId="0" fontId="50" fillId="25" borderId="37" xfId="1203" applyFont="1" applyFill="1" applyBorder="1" applyAlignment="1">
      <alignment horizontal="center" vertical="center" wrapText="1"/>
    </xf>
    <xf numFmtId="0" fontId="50"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174" fontId="265" fillId="25" borderId="0" xfId="0" applyFont="1" applyFill="1" applyAlignment="1">
      <alignment horizontal="center" vertical="center" wrapText="1" readingOrder="1"/>
    </xf>
    <xf numFmtId="174" fontId="261" fillId="70" borderId="0" xfId="0" applyFont="1" applyFill="1" applyAlignment="1">
      <alignment horizontal="center" vertical="center" wrapText="1"/>
    </xf>
    <xf numFmtId="174" fontId="261" fillId="70" borderId="38" xfId="0" applyFont="1" applyFill="1" applyBorder="1" applyAlignment="1">
      <alignment horizontal="center" vertical="center" wrapText="1"/>
    </xf>
    <xf numFmtId="174" fontId="117" fillId="70" borderId="0" xfId="0" applyFont="1" applyFill="1" applyAlignment="1">
      <alignment horizontal="center" vertical="center"/>
    </xf>
    <xf numFmtId="174" fontId="117" fillId="70" borderId="17" xfId="0" applyFont="1" applyFill="1" applyBorder="1" applyAlignment="1">
      <alignment horizontal="center" vertical="center"/>
    </xf>
    <xf numFmtId="10" fontId="159" fillId="0" borderId="0" xfId="521" applyNumberFormat="1" applyFont="1" applyAlignment="1">
      <alignment horizontal="center" vertical="center"/>
    </xf>
    <xf numFmtId="174" fontId="166" fillId="0" borderId="0" xfId="0" applyFont="1" applyAlignment="1">
      <alignment horizontal="left" vertical="top" wrapText="1"/>
    </xf>
    <xf numFmtId="174" fontId="166" fillId="0" borderId="0" xfId="0" applyFont="1" applyAlignment="1">
      <alignment horizontal="center"/>
    </xf>
    <xf numFmtId="174" fontId="171" fillId="25" borderId="0" xfId="0" applyFont="1" applyFill="1" applyAlignment="1">
      <alignment horizontal="center" vertical="center" wrapText="1"/>
    </xf>
    <xf numFmtId="174" fontId="273" fillId="25" borderId="0" xfId="0" applyFont="1" applyFill="1" applyAlignment="1">
      <alignment horizontal="center" vertical="center" wrapText="1" readingOrder="1"/>
    </xf>
    <xf numFmtId="174" fontId="271" fillId="25" borderId="0" xfId="0" applyFont="1" applyFill="1" applyAlignment="1">
      <alignment horizontal="center" vertical="center" readingOrder="1"/>
    </xf>
    <xf numFmtId="174" fontId="272" fillId="25" borderId="0" xfId="0" applyFont="1" applyFill="1" applyAlignment="1">
      <alignment horizontal="center" vertical="center" wrapText="1" readingOrder="1"/>
    </xf>
    <xf numFmtId="174" fontId="265" fillId="25" borderId="0" xfId="0" applyFont="1" applyFill="1" applyAlignment="1">
      <alignment horizontal="center" wrapText="1" readingOrder="1"/>
    </xf>
    <xf numFmtId="171" fontId="342" fillId="0" borderId="0" xfId="521" applyNumberFormat="1" applyFont="1" applyAlignment="1">
      <alignment horizontal="center" vertical="center" wrapText="1"/>
    </xf>
    <xf numFmtId="17" fontId="326" fillId="0" borderId="0" xfId="2609" applyNumberFormat="1" applyFont="1" applyAlignment="1">
      <alignment horizontal="center" vertical="center"/>
    </xf>
    <xf numFmtId="171" fontId="342" fillId="0" borderId="0" xfId="521" applyNumberFormat="1" applyFont="1" applyAlignment="1">
      <alignment horizontal="right" vertical="center"/>
    </xf>
    <xf numFmtId="174" fontId="273" fillId="25" borderId="0" xfId="0" applyFont="1" applyFill="1" applyAlignment="1">
      <alignment horizontal="center" wrapText="1" readingOrder="1"/>
    </xf>
    <xf numFmtId="171" fontId="342" fillId="0" borderId="0" xfId="521" applyNumberFormat="1" applyFont="1" applyAlignment="1">
      <alignment horizontal="right"/>
    </xf>
    <xf numFmtId="174" fontId="261" fillId="27" borderId="0" xfId="0" applyFont="1" applyFill="1" applyAlignment="1">
      <alignment horizontal="center" vertical="center" wrapText="1"/>
    </xf>
    <xf numFmtId="174" fontId="261" fillId="27" borderId="38" xfId="0" applyFont="1" applyFill="1" applyBorder="1" applyAlignment="1">
      <alignment horizontal="center" vertical="center" wrapText="1"/>
    </xf>
    <xf numFmtId="0" fontId="317" fillId="57" borderId="0" xfId="2609" applyFont="1" applyFill="1" applyAlignment="1">
      <alignment horizontal="center" vertical="center"/>
    </xf>
    <xf numFmtId="17" fontId="318" fillId="0" borderId="0" xfId="2609" applyNumberFormat="1" applyFont="1" applyAlignment="1">
      <alignment horizontal="center" vertical="center"/>
    </xf>
    <xf numFmtId="0" fontId="319" fillId="25" borderId="0" xfId="2609" applyFont="1" applyFill="1" applyAlignment="1">
      <alignment horizontal="center" vertical="center"/>
    </xf>
    <xf numFmtId="17" fontId="142" fillId="70" borderId="12" xfId="2609" applyNumberFormat="1" applyFont="1" applyFill="1" applyBorder="1" applyAlignment="1">
      <alignment horizontal="center" vertical="center"/>
    </xf>
    <xf numFmtId="17" fontId="231" fillId="0" borderId="0" xfId="2609" applyNumberFormat="1" applyFont="1" applyAlignment="1">
      <alignment horizontal="center" vertical="center"/>
    </xf>
    <xf numFmtId="0" fontId="152" fillId="68" borderId="0" xfId="428" applyFont="1" applyFill="1" applyAlignment="1">
      <alignment horizontal="center"/>
    </xf>
    <xf numFmtId="0" fontId="153" fillId="68" borderId="0" xfId="428" applyFont="1" applyFill="1" applyAlignment="1">
      <alignment horizontal="center"/>
    </xf>
    <xf numFmtId="0" fontId="154" fillId="68" borderId="0" xfId="428" applyFont="1" applyFill="1" applyAlignment="1">
      <alignment horizontal="center"/>
    </xf>
    <xf numFmtId="0" fontId="289" fillId="68" borderId="0" xfId="428" applyFont="1" applyFill="1" applyAlignment="1">
      <alignment horizontal="center"/>
    </xf>
    <xf numFmtId="0" fontId="290" fillId="68" borderId="0" xfId="428" applyFont="1" applyFill="1" applyAlignment="1">
      <alignment horizontal="center"/>
    </xf>
    <xf numFmtId="0" fontId="291" fillId="68" borderId="0" xfId="428" applyFont="1" applyFill="1" applyAlignment="1">
      <alignment horizontal="center"/>
    </xf>
    <xf numFmtId="0" fontId="364" fillId="68" borderId="0" xfId="428" applyFont="1" applyFill="1" applyAlignment="1">
      <alignment horizontal="center"/>
    </xf>
    <xf numFmtId="0" fontId="365" fillId="68" borderId="0" xfId="428" applyFont="1" applyFill="1" applyAlignment="1">
      <alignment horizontal="center"/>
    </xf>
    <xf numFmtId="174" fontId="185" fillId="25" borderId="0" xfId="0" applyFont="1" applyFill="1" applyAlignment="1">
      <alignment horizontal="center" vertical="center" wrapText="1"/>
    </xf>
    <xf numFmtId="174" fontId="242" fillId="0" borderId="0" xfId="0" applyFont="1" applyAlignment="1">
      <alignment horizontal="justify" vertical="top" wrapText="1"/>
    </xf>
    <xf numFmtId="174" fontId="193" fillId="25" borderId="0" xfId="0" applyFont="1" applyFill="1" applyAlignment="1">
      <alignment horizontal="center" vertical="center" wrapText="1"/>
    </xf>
    <xf numFmtId="174" fontId="179" fillId="0" borderId="0" xfId="0" applyFont="1" applyAlignment="1">
      <alignment horizontal="justify" vertical="justify" wrapText="1"/>
    </xf>
    <xf numFmtId="174" fontId="237" fillId="0" borderId="0" xfId="0" applyFont="1" applyAlignment="1">
      <alignment horizontal="justify" vertical="center" wrapText="1"/>
    </xf>
    <xf numFmtId="174" fontId="206" fillId="0" borderId="0" xfId="0" applyFont="1" applyAlignment="1">
      <alignment horizontal="justify" vertical="center" wrapText="1"/>
    </xf>
    <xf numFmtId="174" fontId="203" fillId="25" borderId="0" xfId="0" applyFont="1" applyFill="1" applyAlignment="1">
      <alignment horizontal="center" vertical="top" wrapText="1"/>
    </xf>
    <xf numFmtId="174" fontId="239" fillId="0" borderId="0" xfId="0" applyFont="1" applyAlignment="1">
      <alignment horizontal="justify" vertical="top" wrapText="1"/>
    </xf>
    <xf numFmtId="174" fontId="241" fillId="0" borderId="0" xfId="0" applyFont="1" applyAlignment="1">
      <alignment horizontal="justify" vertical="top" wrapText="1"/>
    </xf>
    <xf numFmtId="174" fontId="157" fillId="0" borderId="0" xfId="0" applyFont="1" applyAlignment="1">
      <alignment horizontal="center"/>
    </xf>
    <xf numFmtId="174" fontId="170" fillId="0" borderId="0" xfId="0" applyFont="1" applyAlignment="1">
      <alignment horizontal="justify" vertical="top" wrapText="1"/>
    </xf>
    <xf numFmtId="174" fontId="170" fillId="0" borderId="0" xfId="0" applyFont="1" applyAlignment="1">
      <alignment horizontal="justify" vertical="top"/>
    </xf>
    <xf numFmtId="174" fontId="188" fillId="25" borderId="0" xfId="0" applyFont="1" applyFill="1" applyAlignment="1">
      <alignment horizontal="center" vertical="center" wrapText="1"/>
    </xf>
    <xf numFmtId="174" fontId="217" fillId="0" borderId="0" xfId="0" applyFont="1" applyAlignment="1">
      <alignment horizontal="left" vertical="top" wrapText="1"/>
    </xf>
    <xf numFmtId="174" fontId="235" fillId="0" borderId="0" xfId="0" applyFont="1" applyAlignment="1">
      <alignment horizontal="justify" vertical="top" wrapText="1"/>
    </xf>
    <xf numFmtId="174" fontId="235" fillId="0" borderId="0" xfId="0" applyFont="1" applyAlignment="1">
      <alignment horizontal="justify" vertical="top"/>
    </xf>
    <xf numFmtId="174" fontId="178" fillId="25" borderId="0" xfId="0" applyFont="1" applyFill="1" applyAlignment="1">
      <alignment horizontal="justify" vertical="top" wrapText="1"/>
    </xf>
    <xf numFmtId="174" fontId="178" fillId="25" borderId="0" xfId="0" applyFont="1" applyFill="1" applyAlignment="1">
      <alignment horizontal="justify" vertical="top"/>
    </xf>
    <xf numFmtId="43" fontId="336" fillId="0" borderId="0" xfId="294" applyFont="1" applyAlignment="1">
      <alignment horizontal="center" vertical="center"/>
    </xf>
    <xf numFmtId="174" fontId="148" fillId="60" borderId="0" xfId="0" applyFont="1" applyFill="1" applyAlignment="1">
      <alignment horizontal="center" vertical="center" wrapText="1"/>
    </xf>
    <xf numFmtId="174" fontId="315" fillId="0" borderId="47" xfId="0" applyFont="1" applyBorder="1" applyAlignment="1">
      <alignment horizontal="left" vertical="center" wrapText="1"/>
    </xf>
    <xf numFmtId="174" fontId="315" fillId="0" borderId="48" xfId="0" applyFont="1" applyBorder="1" applyAlignment="1">
      <alignment horizontal="left" vertical="center" wrapText="1"/>
    </xf>
    <xf numFmtId="174" fontId="306" fillId="0" borderId="31" xfId="0" applyFont="1" applyBorder="1" applyAlignment="1">
      <alignment horizontal="center" vertical="top" wrapText="1"/>
    </xf>
    <xf numFmtId="174" fontId="306" fillId="0" borderId="0" xfId="0" applyFont="1" applyAlignment="1">
      <alignment horizontal="center" vertical="top" wrapText="1"/>
    </xf>
    <xf numFmtId="174" fontId="306" fillId="0" borderId="17" xfId="0" applyFont="1" applyBorder="1" applyAlignment="1">
      <alignment horizontal="center" vertical="top" wrapText="1"/>
    </xf>
    <xf numFmtId="174" fontId="306" fillId="0" borderId="14" xfId="0" applyFont="1" applyBorder="1" applyAlignment="1">
      <alignment horizontal="center" vertical="top" wrapText="1"/>
    </xf>
    <xf numFmtId="174" fontId="306" fillId="0" borderId="11" xfId="0" applyFont="1" applyBorder="1" applyAlignment="1">
      <alignment horizontal="center" vertical="top" wrapText="1"/>
    </xf>
    <xf numFmtId="174" fontId="306" fillId="0" borderId="16" xfId="0" applyFont="1" applyBorder="1" applyAlignment="1">
      <alignment horizontal="center" vertical="top" wrapText="1"/>
    </xf>
    <xf numFmtId="174" fontId="308" fillId="0" borderId="83" xfId="0" applyFont="1" applyBorder="1" applyAlignment="1">
      <alignment horizontal="center" vertical="center"/>
    </xf>
    <xf numFmtId="174" fontId="308" fillId="0" borderId="84" xfId="0" applyFont="1" applyBorder="1" applyAlignment="1">
      <alignment horizontal="center" vertical="center"/>
    </xf>
    <xf numFmtId="174" fontId="308" fillId="0" borderId="85" xfId="0" applyFont="1" applyBorder="1" applyAlignment="1">
      <alignment horizontal="center" vertical="center"/>
    </xf>
    <xf numFmtId="174" fontId="45" fillId="25" borderId="24" xfId="0" applyFont="1" applyFill="1" applyBorder="1" applyAlignment="1">
      <alignment horizontal="left" vertical="center" wrapText="1"/>
    </xf>
    <xf numFmtId="174" fontId="64" fillId="60" borderId="0" xfId="0" applyFont="1" applyFill="1" applyAlignment="1">
      <alignment horizontal="center" vertical="center" wrapText="1"/>
    </xf>
    <xf numFmtId="174" fontId="69" fillId="60" borderId="0" xfId="0" applyFont="1" applyFill="1" applyAlignment="1">
      <alignment horizontal="center" wrapText="1"/>
    </xf>
    <xf numFmtId="174" fontId="176" fillId="0" borderId="0" xfId="0" applyFont="1" applyAlignment="1">
      <alignment horizontal="justify" vertical="top" wrapText="1"/>
    </xf>
    <xf numFmtId="174" fontId="164" fillId="0" borderId="0" xfId="0" applyFont="1" applyAlignment="1">
      <alignment horizontal="justify" vertical="top" wrapText="1"/>
    </xf>
    <xf numFmtId="174" fontId="164" fillId="0" borderId="0" xfId="0" applyFont="1" applyAlignment="1">
      <alignment horizontal="justify" vertical="top"/>
    </xf>
    <xf numFmtId="171" fontId="234" fillId="0" borderId="12" xfId="521" applyNumberFormat="1" applyFont="1" applyBorder="1" applyAlignment="1">
      <alignment horizontal="center" vertical="center"/>
    </xf>
    <xf numFmtId="174" fontId="379" fillId="25" borderId="0" xfId="0" applyFont="1" applyFill="1" applyAlignment="1">
      <alignment horizontal="justify" vertical="top" wrapText="1"/>
    </xf>
    <xf numFmtId="174" fontId="176" fillId="0" borderId="0" xfId="0" applyFont="1" applyAlignment="1">
      <alignment horizontal="left" vertical="top"/>
    </xf>
    <xf numFmtId="174" fontId="176" fillId="0" borderId="0" xfId="0" applyFont="1" applyAlignment="1">
      <alignment horizontal="left" vertical="top" wrapText="1"/>
    </xf>
    <xf numFmtId="174" fontId="156" fillId="60" borderId="0" xfId="0" applyFont="1" applyFill="1" applyAlignment="1">
      <alignment horizontal="center" wrapText="1"/>
    </xf>
    <xf numFmtId="174" fontId="165" fillId="0" borderId="47" xfId="0" applyFont="1" applyBorder="1" applyAlignment="1">
      <alignment horizontal="left" vertical="center" wrapText="1"/>
    </xf>
    <xf numFmtId="174" fontId="165" fillId="0" borderId="48" xfId="0" applyFont="1" applyBorder="1" applyAlignment="1">
      <alignment horizontal="left" vertical="center" wrapText="1"/>
    </xf>
    <xf numFmtId="174" fontId="165" fillId="0" borderId="49" xfId="0" applyFont="1" applyBorder="1" applyAlignment="1">
      <alignment horizontal="left" vertical="center" wrapText="1"/>
    </xf>
    <xf numFmtId="174" fontId="156" fillId="60" borderId="0" xfId="0" applyFont="1" applyFill="1" applyAlignment="1">
      <alignment horizontal="center" vertical="center" wrapText="1"/>
    </xf>
    <xf numFmtId="174" fontId="308" fillId="0" borderId="23" xfId="0" applyFont="1" applyBorder="1" applyAlignment="1">
      <alignment horizontal="center" vertical="center" wrapText="1"/>
    </xf>
    <xf numFmtId="174" fontId="308" fillId="0" borderId="32" xfId="0" applyFont="1" applyBorder="1" applyAlignment="1">
      <alignment horizontal="center" vertical="center" wrapText="1"/>
    </xf>
    <xf numFmtId="174" fontId="309" fillId="0" borderId="12" xfId="0" applyFont="1" applyBorder="1" applyAlignment="1">
      <alignment horizontal="center" vertical="center" wrapText="1"/>
    </xf>
    <xf numFmtId="174" fontId="309" fillId="0" borderId="12" xfId="0" applyFont="1" applyBorder="1" applyAlignment="1">
      <alignment horizontal="center" vertical="center"/>
    </xf>
    <xf numFmtId="174" fontId="179" fillId="0" borderId="0" xfId="0" applyFont="1" applyAlignment="1">
      <alignment horizontal="center"/>
    </xf>
    <xf numFmtId="174" fontId="42" fillId="60" borderId="0" xfId="0" applyFont="1" applyFill="1" applyAlignment="1">
      <alignment horizontal="center" vertical="center" wrapText="1"/>
    </xf>
    <xf numFmtId="174" fontId="63" fillId="60"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60" borderId="39" xfId="0" applyFont="1" applyFill="1" applyBorder="1" applyAlignment="1">
      <alignment horizontal="center" vertical="center" wrapText="1"/>
    </xf>
    <xf numFmtId="174" fontId="37" fillId="60" borderId="54" xfId="0" applyFont="1" applyFill="1" applyBorder="1" applyAlignment="1">
      <alignment horizontal="center" vertical="center" wrapText="1"/>
    </xf>
    <xf numFmtId="174" fontId="37" fillId="60" borderId="40" xfId="0" applyFont="1" applyFill="1" applyBorder="1" applyAlignment="1">
      <alignment horizontal="center" vertical="center" wrapText="1"/>
    </xf>
    <xf numFmtId="174" fontId="52" fillId="60" borderId="35" xfId="0" applyFont="1" applyFill="1" applyBorder="1" applyAlignment="1">
      <alignment horizontal="center" vertical="center" wrapText="1"/>
    </xf>
    <xf numFmtId="174" fontId="52" fillId="60" borderId="53" xfId="0" applyFont="1" applyFill="1" applyBorder="1" applyAlignment="1">
      <alignment horizontal="center" vertical="center" wrapText="1"/>
    </xf>
    <xf numFmtId="174" fontId="52" fillId="60" borderId="36" xfId="0" applyFont="1" applyFill="1" applyBorder="1" applyAlignment="1">
      <alignment horizontal="center" vertical="center" wrapText="1"/>
    </xf>
    <xf numFmtId="174" fontId="43" fillId="0" borderId="0" xfId="0" applyFont="1" applyAlignment="1">
      <alignment horizontal="left" vertical="center" wrapText="1"/>
    </xf>
    <xf numFmtId="174" fontId="357" fillId="0" borderId="12" xfId="0" applyFont="1" applyBorder="1" applyAlignment="1">
      <alignment horizontal="center" vertical="center"/>
    </xf>
    <xf numFmtId="171" fontId="357" fillId="0" borderId="12" xfId="521" applyNumberFormat="1" applyFont="1" applyBorder="1" applyAlignment="1">
      <alignment horizontal="center" vertical="center"/>
    </xf>
    <xf numFmtId="171" fontId="357" fillId="0" borderId="23" xfId="521" applyNumberFormat="1" applyFont="1" applyBorder="1" applyAlignment="1">
      <alignment horizontal="center"/>
    </xf>
    <xf numFmtId="171" fontId="357" fillId="0" borderId="33" xfId="521" applyNumberFormat="1" applyFont="1" applyBorder="1" applyAlignment="1">
      <alignment horizontal="center"/>
    </xf>
    <xf numFmtId="171" fontId="357" fillId="0" borderId="32" xfId="521" applyNumberFormat="1" applyFont="1" applyBorder="1" applyAlignment="1">
      <alignment horizontal="center"/>
    </xf>
    <xf numFmtId="174" fontId="360" fillId="25" borderId="0" xfId="0" applyFont="1" applyFill="1" applyAlignment="1">
      <alignment horizontal="justify" vertical="top" wrapText="1"/>
    </xf>
    <xf numFmtId="174" fontId="170" fillId="25" borderId="0" xfId="0" applyFont="1" applyFill="1" applyAlignment="1">
      <alignment horizontal="justify" vertical="top" wrapText="1"/>
    </xf>
    <xf numFmtId="174" fontId="184" fillId="0" borderId="0" xfId="0" applyFont="1" applyAlignment="1">
      <alignment horizontal="left" vertical="center"/>
    </xf>
    <xf numFmtId="174" fontId="184" fillId="0" borderId="24" xfId="0" applyFont="1" applyBorder="1" applyAlignment="1">
      <alignment horizontal="left" vertical="center"/>
    </xf>
    <xf numFmtId="174" fontId="256" fillId="60" borderId="25" xfId="0" applyFont="1" applyFill="1" applyBorder="1" applyAlignment="1">
      <alignment horizontal="center" vertical="center" wrapText="1"/>
    </xf>
    <xf numFmtId="174" fontId="256" fillId="60" borderId="24" xfId="0" applyFont="1" applyFill="1" applyBorder="1" applyAlignment="1">
      <alignment horizontal="center" vertical="center" wrapText="1"/>
    </xf>
    <xf numFmtId="174" fontId="203" fillId="60" borderId="14" xfId="0" applyFont="1" applyFill="1" applyBorder="1" applyAlignment="1">
      <alignment horizontal="center" vertical="center" wrapText="1"/>
    </xf>
    <xf numFmtId="174" fontId="203" fillId="60" borderId="11" xfId="0" applyFont="1" applyFill="1" applyBorder="1" applyAlignment="1">
      <alignment horizontal="center" vertical="center" wrapText="1"/>
    </xf>
    <xf numFmtId="174" fontId="73" fillId="0" borderId="0" xfId="0" applyFont="1" applyAlignment="1">
      <alignment horizontal="left" vertical="center"/>
    </xf>
    <xf numFmtId="174" fontId="173" fillId="70" borderId="0" xfId="0" applyFont="1" applyFill="1" applyAlignment="1">
      <alignment horizontal="center" vertical="center" wrapText="1"/>
    </xf>
    <xf numFmtId="174" fontId="203" fillId="70" borderId="0" xfId="0" applyFont="1" applyFill="1" applyAlignment="1">
      <alignment horizontal="center" vertical="center" wrapText="1"/>
    </xf>
    <xf numFmtId="174" fontId="282" fillId="0" borderId="12" xfId="0" applyFont="1" applyBorder="1" applyAlignment="1">
      <alignment horizontal="center"/>
    </xf>
    <xf numFmtId="174" fontId="282" fillId="0" borderId="23" xfId="0" applyFont="1" applyBorder="1" applyAlignment="1">
      <alignment horizontal="center"/>
    </xf>
    <xf numFmtId="174" fontId="282" fillId="0" borderId="33" xfId="0" applyFont="1" applyBorder="1" applyAlignment="1">
      <alignment horizontal="center"/>
    </xf>
    <xf numFmtId="174" fontId="282" fillId="0" borderId="32" xfId="0" applyFont="1" applyBorder="1" applyAlignment="1">
      <alignment horizontal="center"/>
    </xf>
    <xf numFmtId="174" fontId="255" fillId="25" borderId="0" xfId="0" applyFont="1" applyFill="1" applyAlignment="1">
      <alignment horizontal="justify" vertical="top" wrapText="1"/>
    </xf>
    <xf numFmtId="3" fontId="282" fillId="0" borderId="34" xfId="0" applyNumberFormat="1" applyFont="1" applyBorder="1" applyAlignment="1">
      <alignment horizontal="center" vertical="center" wrapText="1"/>
    </xf>
    <xf numFmtId="3" fontId="282" fillId="0" borderId="13" xfId="0" applyNumberFormat="1" applyFont="1" applyBorder="1" applyAlignment="1">
      <alignment horizontal="center" vertical="center" wrapText="1"/>
    </xf>
    <xf numFmtId="3" fontId="314" fillId="0" borderId="34" xfId="0" applyNumberFormat="1" applyFont="1" applyBorder="1" applyAlignment="1">
      <alignment horizontal="center" vertical="center" wrapText="1"/>
    </xf>
    <xf numFmtId="3" fontId="314" fillId="0" borderId="13" xfId="0" applyNumberFormat="1" applyFont="1" applyBorder="1" applyAlignment="1">
      <alignment horizontal="center" vertical="center" wrapText="1"/>
    </xf>
    <xf numFmtId="174" fontId="42" fillId="70" borderId="0" xfId="0" applyFont="1" applyFill="1" applyAlignment="1">
      <alignment horizontal="center" vertical="center" wrapText="1"/>
    </xf>
    <xf numFmtId="174" fontId="205" fillId="0" borderId="0" xfId="0" applyFont="1" applyAlignment="1">
      <alignment horizontal="left" vertical="top"/>
    </xf>
    <xf numFmtId="174" fontId="63" fillId="70" borderId="0" xfId="0" applyFont="1" applyFill="1" applyAlignment="1">
      <alignment horizontal="center" vertical="center" wrapText="1"/>
    </xf>
    <xf numFmtId="174" fontId="74" fillId="60" borderId="35" xfId="0" applyFont="1" applyFill="1" applyBorder="1" applyAlignment="1">
      <alignment horizontal="center" vertical="center" wrapText="1"/>
    </xf>
    <xf numFmtId="174" fontId="74" fillId="60" borderId="53" xfId="0" applyFont="1" applyFill="1" applyBorder="1" applyAlignment="1">
      <alignment horizontal="center" vertical="center" wrapText="1"/>
    </xf>
    <xf numFmtId="174" fontId="74" fillId="60" borderId="36" xfId="0" applyFont="1" applyFill="1" applyBorder="1" applyAlignment="1">
      <alignment horizontal="center" vertical="center" wrapText="1"/>
    </xf>
    <xf numFmtId="174" fontId="74" fillId="60" borderId="39" xfId="0" applyFont="1" applyFill="1" applyBorder="1" applyAlignment="1">
      <alignment horizontal="center" vertical="center" wrapText="1"/>
    </xf>
    <xf numFmtId="174" fontId="74" fillId="60" borderId="54" xfId="0" applyFont="1" applyFill="1" applyBorder="1" applyAlignment="1">
      <alignment horizontal="center" vertical="center" wrapText="1"/>
    </xf>
    <xf numFmtId="174" fontId="74" fillId="60"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77" fillId="25" borderId="0" xfId="0" applyFont="1" applyFill="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180" fillId="25" borderId="0" xfId="0" applyFont="1" applyFill="1" applyAlignment="1">
      <alignment horizontal="justify" vertical="top" wrapText="1"/>
    </xf>
    <xf numFmtId="174" fontId="180" fillId="25" borderId="0" xfId="0" applyFont="1" applyFill="1" applyAlignment="1">
      <alignment horizontal="justify" vertical="top"/>
    </xf>
    <xf numFmtId="174" fontId="42" fillId="70" borderId="39" xfId="0" applyFont="1" applyFill="1" applyBorder="1" applyAlignment="1">
      <alignment horizontal="center" vertical="center" wrapText="1"/>
    </xf>
    <xf numFmtId="174" fontId="42" fillId="70" borderId="54" xfId="0" applyFont="1" applyFill="1" applyBorder="1" applyAlignment="1">
      <alignment horizontal="center" vertical="center" wrapText="1"/>
    </xf>
    <xf numFmtId="174" fontId="37" fillId="70" borderId="35" xfId="0" applyFont="1" applyFill="1" applyBorder="1" applyAlignment="1">
      <alignment horizontal="center" vertical="center" wrapText="1"/>
    </xf>
    <xf numFmtId="174" fontId="37" fillId="70" borderId="53" xfId="0" applyFont="1" applyFill="1" applyBorder="1" applyAlignment="1">
      <alignment horizontal="center" vertical="center" wrapText="1"/>
    </xf>
    <xf numFmtId="174" fontId="274" fillId="0" borderId="0" xfId="0" applyFont="1" applyAlignment="1">
      <alignment horizontal="left" vertical="top" wrapText="1"/>
    </xf>
    <xf numFmtId="43" fontId="275" fillId="0" borderId="0" xfId="294" applyFont="1" applyAlignment="1">
      <alignment horizontal="left" wrapText="1"/>
    </xf>
    <xf numFmtId="174" fontId="209" fillId="70" borderId="12" xfId="359" applyFont="1" applyFill="1" applyBorder="1" applyAlignment="1">
      <alignment horizontal="center" vertical="center" wrapText="1"/>
    </xf>
    <xf numFmtId="174" fontId="179" fillId="0" borderId="0" xfId="0" applyFont="1" applyAlignment="1">
      <alignment horizontal="justify" vertical="top" wrapText="1"/>
    </xf>
    <xf numFmtId="174" fontId="179" fillId="0" borderId="0" xfId="0" applyFont="1" applyAlignment="1">
      <alignment horizontal="justify" vertical="top"/>
    </xf>
    <xf numFmtId="174" fontId="120" fillId="0" borderId="23" xfId="0" applyFont="1" applyBorder="1" applyAlignment="1">
      <alignment horizontal="center" vertical="center" wrapText="1"/>
    </xf>
    <xf numFmtId="174" fontId="120" fillId="0" borderId="33" xfId="0" applyFont="1" applyBorder="1" applyAlignment="1">
      <alignment horizontal="center" vertical="center" wrapText="1"/>
    </xf>
    <xf numFmtId="174" fontId="120" fillId="0" borderId="32" xfId="0" applyFont="1" applyBorder="1" applyAlignment="1">
      <alignment horizontal="center" vertical="center" wrapText="1"/>
    </xf>
    <xf numFmtId="174" fontId="283" fillId="25" borderId="0" xfId="0" applyFont="1" applyFill="1" applyAlignment="1">
      <alignment horizontal="justify" vertical="top" wrapText="1"/>
    </xf>
    <xf numFmtId="174" fontId="283" fillId="25" borderId="0" xfId="0" applyFont="1" applyFill="1" applyAlignment="1">
      <alignment horizontal="justify" vertical="top"/>
    </xf>
    <xf numFmtId="174" fontId="114" fillId="0" borderId="0" xfId="0" applyFont="1" applyAlignment="1">
      <alignment horizontal="center" wrapText="1"/>
    </xf>
    <xf numFmtId="174" fontId="174" fillId="25" borderId="0" xfId="0" applyFont="1" applyFill="1" applyAlignment="1">
      <alignment horizontal="left" vertical="center" wrapText="1"/>
    </xf>
    <xf numFmtId="174" fontId="180" fillId="0" borderId="24" xfId="0" applyFont="1" applyBorder="1" applyAlignment="1">
      <alignment horizontal="left" vertical="center" wrapText="1"/>
    </xf>
    <xf numFmtId="174" fontId="180" fillId="0" borderId="24" xfId="0" applyFont="1" applyBorder="1" applyAlignment="1">
      <alignment horizontal="left" vertical="center"/>
    </xf>
    <xf numFmtId="174" fontId="203" fillId="70" borderId="11" xfId="0" applyFont="1" applyFill="1" applyBorder="1" applyAlignment="1">
      <alignment horizontal="center" vertical="top" wrapText="1"/>
    </xf>
    <xf numFmtId="174" fontId="185" fillId="70" borderId="0" xfId="0" applyFont="1" applyFill="1" applyAlignment="1">
      <alignment horizontal="center" vertical="center" wrapText="1"/>
    </xf>
    <xf numFmtId="174" fontId="180" fillId="0" borderId="0" xfId="0" applyFont="1" applyAlignment="1">
      <alignment horizontal="left" vertical="top" wrapText="1"/>
    </xf>
    <xf numFmtId="174" fontId="45" fillId="25" borderId="0" xfId="0" applyFont="1" applyFill="1" applyAlignment="1">
      <alignment horizontal="left" vertical="center" wrapText="1"/>
    </xf>
    <xf numFmtId="174" fontId="37" fillId="70" borderId="0" xfId="0" applyFont="1" applyFill="1" applyAlignment="1">
      <alignment horizontal="center" vertical="top" wrapText="1"/>
    </xf>
    <xf numFmtId="174" fontId="42" fillId="70" borderId="0" xfId="0" applyFont="1" applyFill="1" applyAlignment="1">
      <alignment horizontal="center" vertical="top" wrapText="1"/>
    </xf>
    <xf numFmtId="174" fontId="37" fillId="70" borderId="36" xfId="0" applyFont="1" applyFill="1" applyBorder="1" applyAlignment="1">
      <alignment horizontal="center" vertical="center" wrapText="1"/>
    </xf>
    <xf numFmtId="174" fontId="37" fillId="70" borderId="39" xfId="0" applyFont="1" applyFill="1" applyBorder="1" applyAlignment="1">
      <alignment horizontal="center" vertical="top" wrapText="1"/>
    </xf>
    <xf numFmtId="174" fontId="37" fillId="70" borderId="54" xfId="0" applyFont="1" applyFill="1" applyBorder="1" applyAlignment="1">
      <alignment horizontal="center" vertical="top" wrapText="1"/>
    </xf>
    <xf numFmtId="174" fontId="37" fillId="70" borderId="40" xfId="0" applyFont="1" applyFill="1" applyBorder="1" applyAlignment="1">
      <alignment horizontal="center" vertical="top" wrapText="1"/>
    </xf>
    <xf numFmtId="174" fontId="203" fillId="70" borderId="0" xfId="0" applyFont="1" applyFill="1" applyAlignment="1">
      <alignment horizontal="center" vertical="top" wrapText="1"/>
    </xf>
    <xf numFmtId="174" fontId="156" fillId="71" borderId="0" xfId="0" applyFont="1" applyFill="1" applyAlignment="1">
      <alignment horizontal="center" vertical="center" wrapText="1"/>
    </xf>
    <xf numFmtId="174" fontId="173" fillId="71" borderId="0" xfId="0" applyFont="1" applyFill="1" applyAlignment="1">
      <alignment horizontal="center" vertical="top" wrapText="1"/>
    </xf>
    <xf numFmtId="174" fontId="193" fillId="70" borderId="23" xfId="0" applyFont="1" applyFill="1" applyBorder="1" applyAlignment="1">
      <alignment horizontal="center" vertical="center"/>
    </xf>
    <xf numFmtId="174" fontId="193" fillId="70" borderId="32" xfId="0" applyFont="1" applyFill="1" applyBorder="1" applyAlignment="1">
      <alignment horizontal="center" vertical="center"/>
    </xf>
    <xf numFmtId="174" fontId="193" fillId="70" borderId="0" xfId="0" applyFont="1" applyFill="1" applyAlignment="1">
      <alignment horizontal="center" vertical="center" wrapText="1"/>
    </xf>
    <xf numFmtId="174" fontId="286" fillId="69" borderId="23" xfId="0" applyFont="1" applyFill="1" applyBorder="1" applyAlignment="1">
      <alignment horizontal="center" vertical="center" wrapText="1"/>
    </xf>
    <xf numFmtId="174" fontId="286" fillId="69" borderId="33" xfId="0" applyFont="1" applyFill="1" applyBorder="1" applyAlignment="1">
      <alignment horizontal="center" vertical="center" wrapText="1"/>
    </xf>
    <xf numFmtId="174" fontId="286" fillId="69" borderId="32" xfId="0" applyFont="1" applyFill="1" applyBorder="1" applyAlignment="1">
      <alignment horizontal="center" vertical="center" wrapText="1"/>
    </xf>
    <xf numFmtId="174" fontId="52" fillId="70" borderId="0" xfId="0" applyFont="1" applyFill="1" applyAlignment="1">
      <alignment horizontal="center" vertical="center" wrapText="1"/>
    </xf>
    <xf numFmtId="174" fontId="190" fillId="25" borderId="23" xfId="0" applyFont="1" applyFill="1" applyBorder="1" applyAlignment="1">
      <alignment horizontal="center" vertical="center"/>
    </xf>
    <xf numFmtId="174" fontId="190" fillId="25" borderId="33" xfId="0" applyFont="1" applyFill="1" applyBorder="1" applyAlignment="1">
      <alignment horizontal="center" vertical="center"/>
    </xf>
    <xf numFmtId="174" fontId="190" fillId="25" borderId="32" xfId="0" applyFont="1" applyFill="1" applyBorder="1" applyAlignment="1">
      <alignment horizontal="center" vertical="center"/>
    </xf>
    <xf numFmtId="174" fontId="64" fillId="70" borderId="0" xfId="0" applyFont="1" applyFill="1" applyAlignment="1">
      <alignment horizontal="center" vertical="center" wrapText="1"/>
    </xf>
    <xf numFmtId="174" fontId="61" fillId="0" borderId="0" xfId="0" applyFont="1" applyAlignment="1">
      <alignment horizontal="left" vertical="center" wrapText="1"/>
    </xf>
    <xf numFmtId="38" fontId="188" fillId="70" borderId="25" xfId="0" applyNumberFormat="1" applyFont="1" applyFill="1" applyBorder="1" applyAlignment="1">
      <alignment horizontal="center" vertical="center"/>
    </xf>
    <xf numFmtId="38" fontId="188" fillId="70" borderId="24" xfId="0" applyNumberFormat="1" applyFont="1" applyFill="1" applyBorder="1" applyAlignment="1">
      <alignment horizontal="center" vertical="center"/>
    </xf>
    <xf numFmtId="38" fontId="188" fillId="70" borderId="26" xfId="0" applyNumberFormat="1" applyFont="1" applyFill="1" applyBorder="1" applyAlignment="1">
      <alignment horizontal="center" vertical="center"/>
    </xf>
    <xf numFmtId="174" fontId="180" fillId="0" borderId="0" xfId="0" applyFont="1" applyAlignment="1">
      <alignment horizontal="justify" vertical="top" wrapText="1"/>
    </xf>
    <xf numFmtId="174" fontId="180" fillId="0" borderId="0" xfId="0" applyFont="1" applyAlignment="1">
      <alignment horizontal="justify" vertical="top"/>
    </xf>
    <xf numFmtId="174" fontId="212" fillId="0" borderId="12" xfId="0" applyFont="1" applyBorder="1" applyAlignment="1">
      <alignment horizontal="center" wrapText="1"/>
    </xf>
    <xf numFmtId="41" fontId="208" fillId="0" borderId="34" xfId="0" applyNumberFormat="1" applyFont="1" applyBorder="1" applyAlignment="1">
      <alignment horizontal="center"/>
    </xf>
    <xf numFmtId="41" fontId="208" fillId="0" borderId="15" xfId="0" applyNumberFormat="1" applyFont="1" applyBorder="1" applyAlignment="1">
      <alignment horizontal="center"/>
    </xf>
    <xf numFmtId="41" fontId="208" fillId="0" borderId="13" xfId="0" applyNumberFormat="1" applyFont="1" applyBorder="1" applyAlignment="1">
      <alignment horizontal="center"/>
    </xf>
    <xf numFmtId="171" fontId="186" fillId="0" borderId="23" xfId="521" applyNumberFormat="1" applyFont="1" applyBorder="1" applyAlignment="1">
      <alignment horizontal="center" wrapText="1"/>
    </xf>
    <xf numFmtId="171" fontId="186" fillId="0" borderId="32" xfId="521" applyNumberFormat="1" applyFont="1" applyBorder="1" applyAlignment="1">
      <alignment horizontal="center" wrapText="1"/>
    </xf>
    <xf numFmtId="171" fontId="186" fillId="0" borderId="12" xfId="521" applyNumberFormat="1" applyFont="1" applyBorder="1" applyAlignment="1">
      <alignment horizontal="center"/>
    </xf>
    <xf numFmtId="174" fontId="210" fillId="25" borderId="0" xfId="0" applyFont="1" applyFill="1" applyAlignment="1">
      <alignment horizontal="justify" vertical="top" wrapText="1"/>
    </xf>
    <xf numFmtId="174" fontId="210" fillId="25" borderId="0" xfId="0" applyFont="1" applyFill="1" applyAlignment="1">
      <alignment horizontal="justify" vertical="top"/>
    </xf>
    <xf numFmtId="171" fontId="208" fillId="0" borderId="12" xfId="521" applyNumberFormat="1" applyFont="1" applyBorder="1" applyAlignment="1">
      <alignment horizontal="center" vertical="center"/>
    </xf>
    <xf numFmtId="171" fontId="307" fillId="0" borderId="34" xfId="521" applyNumberFormat="1" applyFont="1" applyBorder="1" applyAlignment="1">
      <alignment horizontal="center" vertical="center" wrapText="1"/>
    </xf>
    <xf numFmtId="171" fontId="307" fillId="0" borderId="13" xfId="521" applyNumberFormat="1" applyFont="1" applyBorder="1" applyAlignment="1">
      <alignment horizontal="center" vertical="center" wrapText="1"/>
    </xf>
    <xf numFmtId="171" fontId="307" fillId="0" borderId="34" xfId="521" applyNumberFormat="1" applyFont="1" applyBorder="1" applyAlignment="1">
      <alignment horizontal="center" vertical="center"/>
    </xf>
    <xf numFmtId="171" fontId="307" fillId="0" borderId="15" xfId="521" applyNumberFormat="1" applyFont="1" applyBorder="1" applyAlignment="1">
      <alignment horizontal="center" vertical="center"/>
    </xf>
    <xf numFmtId="171" fontId="307" fillId="0" borderId="13" xfId="521" applyNumberFormat="1" applyFont="1" applyBorder="1" applyAlignment="1">
      <alignment horizontal="center" vertical="center"/>
    </xf>
    <xf numFmtId="174" fontId="156" fillId="70" borderId="0" xfId="0" applyFont="1" applyFill="1" applyAlignment="1">
      <alignment horizontal="center" wrapText="1"/>
    </xf>
    <xf numFmtId="38" fontId="179" fillId="0" borderId="25" xfId="0" applyNumberFormat="1" applyFont="1" applyBorder="1" applyAlignment="1">
      <alignment horizontal="left" vertical="center" wrapText="1"/>
    </xf>
    <xf numFmtId="38" fontId="187" fillId="0" borderId="24" xfId="0" applyNumberFormat="1" applyFont="1" applyBorder="1" applyAlignment="1">
      <alignment horizontal="left" vertical="center" wrapText="1"/>
    </xf>
    <xf numFmtId="38" fontId="187" fillId="0" borderId="26" xfId="0" applyNumberFormat="1" applyFont="1" applyBorder="1" applyAlignment="1">
      <alignment horizontal="left" vertical="center" wrapText="1"/>
    </xf>
    <xf numFmtId="49" fontId="182" fillId="25" borderId="0" xfId="0" applyNumberFormat="1" applyFont="1" applyFill="1" applyAlignment="1">
      <alignment horizontal="left" vertical="center"/>
    </xf>
    <xf numFmtId="43" fontId="117" fillId="70" borderId="0" xfId="0" applyNumberFormat="1" applyFont="1" applyFill="1" applyAlignment="1">
      <alignment horizontal="center" vertical="center" wrapText="1"/>
    </xf>
    <xf numFmtId="43" fontId="58"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66" fillId="70" borderId="0" xfId="0" applyNumberFormat="1" applyFont="1" applyFill="1" applyAlignment="1">
      <alignment horizontal="center" vertical="center" wrapText="1"/>
    </xf>
    <xf numFmtId="174" fontId="96" fillId="25" borderId="0" xfId="0" applyFont="1" applyFill="1" applyAlignment="1">
      <alignment horizontal="left" vertical="center" wrapText="1"/>
    </xf>
    <xf numFmtId="174" fontId="165" fillId="0" borderId="0" xfId="0" applyFont="1" applyAlignment="1">
      <alignment horizontal="justify" vertical="top" wrapText="1"/>
    </xf>
    <xf numFmtId="174" fontId="177" fillId="0" borderId="0" xfId="0" applyFont="1" applyAlignment="1">
      <alignment horizontal="justify" vertical="top" wrapText="1"/>
    </xf>
    <xf numFmtId="174" fontId="177" fillId="0" borderId="0" xfId="0" applyFont="1" applyAlignment="1">
      <alignment horizontal="justify" vertical="top"/>
    </xf>
    <xf numFmtId="174" fontId="157" fillId="0" borderId="11" xfId="0" applyFont="1" applyBorder="1" applyAlignment="1">
      <alignment horizontal="center" vertical="center" wrapText="1"/>
    </xf>
    <xf numFmtId="171" fontId="157" fillId="0" borderId="23" xfId="521" applyNumberFormat="1" applyFont="1" applyBorder="1" applyAlignment="1">
      <alignment horizontal="center" vertical="center"/>
    </xf>
    <xf numFmtId="171" fontId="157" fillId="0" borderId="32" xfId="521" applyNumberFormat="1" applyFont="1" applyBorder="1" applyAlignment="1">
      <alignment horizontal="center" vertical="center"/>
    </xf>
    <xf numFmtId="174" fontId="232" fillId="0" borderId="0" xfId="0" applyFont="1" applyAlignment="1">
      <alignment horizontal="justify" vertical="justify" wrapText="1"/>
    </xf>
    <xf numFmtId="41" fontId="122" fillId="59" borderId="14" xfId="2466" applyNumberFormat="1" applyFont="1" applyFill="1" applyBorder="1" applyAlignment="1">
      <alignment horizontal="center" vertical="center" wrapText="1"/>
    </xf>
    <xf numFmtId="41" fontId="122" fillId="59" borderId="11" xfId="2466" applyNumberFormat="1" applyFont="1" applyFill="1" applyBorder="1" applyAlignment="1">
      <alignment horizontal="center" vertical="center" wrapText="1"/>
    </xf>
    <xf numFmtId="174" fontId="64" fillId="59" borderId="12" xfId="0" applyFont="1" applyFill="1" applyBorder="1" applyAlignment="1">
      <alignment horizontal="center" vertical="center" wrapText="1"/>
    </xf>
    <xf numFmtId="174" fontId="123" fillId="0" borderId="34" xfId="0" applyFont="1" applyBorder="1" applyAlignment="1">
      <alignment horizontal="center" vertical="center" wrapText="1"/>
    </xf>
    <xf numFmtId="174" fontId="123" fillId="0" borderId="15" xfId="0" applyFont="1" applyBorder="1" applyAlignment="1">
      <alignment horizontal="center" vertical="center" wrapText="1"/>
    </xf>
    <xf numFmtId="174" fontId="123" fillId="0" borderId="13" xfId="0" applyFont="1" applyBorder="1" applyAlignment="1">
      <alignment horizontal="center" vertical="center" wrapText="1"/>
    </xf>
    <xf numFmtId="0" fontId="64" fillId="57" borderId="23" xfId="2466" applyFont="1" applyFill="1" applyBorder="1" applyAlignment="1">
      <alignment horizontal="center" vertical="center" wrapText="1"/>
    </xf>
    <xf numFmtId="0" fontId="64" fillId="57" borderId="33" xfId="2466" applyFont="1" applyFill="1" applyBorder="1" applyAlignment="1">
      <alignment horizontal="center" vertical="center" wrapText="1"/>
    </xf>
    <xf numFmtId="0" fontId="64" fillId="57" borderId="32" xfId="2466" applyFont="1" applyFill="1" applyBorder="1" applyAlignment="1">
      <alignment horizontal="center" vertical="center" wrapText="1"/>
    </xf>
    <xf numFmtId="0" fontId="72" fillId="57" borderId="23" xfId="2466" applyFont="1" applyFill="1" applyBorder="1" applyAlignment="1">
      <alignment horizontal="center" vertical="center"/>
    </xf>
    <xf numFmtId="0" fontId="72" fillId="57" borderId="33" xfId="2466" applyFont="1" applyFill="1" applyBorder="1" applyAlignment="1">
      <alignment horizontal="center" vertical="center"/>
    </xf>
    <xf numFmtId="0" fontId="72" fillId="57" borderId="32" xfId="2466" applyFont="1" applyFill="1" applyBorder="1" applyAlignment="1">
      <alignment horizontal="center" vertical="center"/>
    </xf>
    <xf numFmtId="0" fontId="64" fillId="57" borderId="12" xfId="2466" applyFont="1" applyFill="1" applyBorder="1" applyAlignment="1">
      <alignment horizontal="center" vertical="center" wrapText="1"/>
    </xf>
    <xf numFmtId="0" fontId="69" fillId="57" borderId="12" xfId="2466" applyFont="1" applyFill="1" applyBorder="1" applyAlignment="1">
      <alignment horizontal="center" vertical="center" wrapText="1"/>
    </xf>
    <xf numFmtId="174" fontId="69" fillId="57" borderId="12" xfId="359" applyFont="1" applyFill="1" applyBorder="1" applyAlignment="1">
      <alignment horizontal="center" vertical="center" wrapText="1"/>
    </xf>
    <xf numFmtId="0" fontId="117" fillId="57" borderId="31" xfId="2466" applyFont="1" applyFill="1" applyBorder="1" applyAlignment="1">
      <alignment horizontal="center" vertical="center"/>
    </xf>
    <xf numFmtId="0" fontId="117" fillId="57" borderId="0" xfId="2466" applyFont="1" applyFill="1" applyAlignment="1">
      <alignment horizontal="center" vertical="center"/>
    </xf>
    <xf numFmtId="0" fontId="64" fillId="57" borderId="34" xfId="2466" applyFont="1" applyFill="1" applyBorder="1" applyAlignment="1">
      <alignment horizontal="center" vertical="center" wrapText="1"/>
    </xf>
    <xf numFmtId="0" fontId="64" fillId="57" borderId="13" xfId="2466" applyFont="1" applyFill="1" applyBorder="1" applyAlignment="1">
      <alignment horizontal="center" vertical="center" wrapText="1"/>
    </xf>
    <xf numFmtId="0" fontId="64" fillId="57" borderId="23" xfId="2466" applyFont="1" applyFill="1" applyBorder="1" applyAlignment="1">
      <alignment horizontal="center" vertical="center"/>
    </xf>
    <xf numFmtId="0" fontId="64" fillId="57" borderId="32" xfId="2466" applyFont="1" applyFill="1" applyBorder="1" applyAlignment="1">
      <alignment horizontal="center" vertical="center"/>
    </xf>
    <xf numFmtId="0" fontId="64" fillId="57" borderId="12" xfId="2466" applyFont="1" applyFill="1" applyBorder="1" applyAlignment="1">
      <alignment horizontal="center" vertical="center"/>
    </xf>
    <xf numFmtId="41" fontId="69" fillId="57" borderId="12" xfId="2466" applyNumberFormat="1" applyFont="1" applyFill="1" applyBorder="1" applyAlignment="1">
      <alignment horizontal="center" vertical="center" wrapText="1"/>
    </xf>
    <xf numFmtId="174" fontId="64" fillId="57" borderId="12" xfId="359" applyFont="1" applyFill="1" applyBorder="1" applyAlignment="1">
      <alignment horizontal="center" vertical="center" wrapText="1"/>
    </xf>
    <xf numFmtId="0" fontId="72" fillId="75" borderId="23" xfId="2466" applyFont="1" applyFill="1" applyBorder="1" applyAlignment="1">
      <alignment horizontal="center" vertical="center"/>
    </xf>
    <xf numFmtId="0" fontId="72" fillId="75" borderId="33" xfId="2466" applyFont="1" applyFill="1" applyBorder="1" applyAlignment="1">
      <alignment horizontal="center" vertical="center"/>
    </xf>
    <xf numFmtId="0" fontId="72" fillId="75" borderId="32" xfId="2466" applyFont="1" applyFill="1" applyBorder="1" applyAlignment="1">
      <alignment horizontal="center" vertical="center"/>
    </xf>
    <xf numFmtId="0" fontId="72" fillId="61" borderId="23" xfId="2466" applyFont="1" applyFill="1" applyBorder="1" applyAlignment="1">
      <alignment horizontal="center" vertical="center"/>
    </xf>
    <xf numFmtId="0" fontId="72" fillId="61" borderId="33" xfId="2466" applyFont="1" applyFill="1" applyBorder="1" applyAlignment="1">
      <alignment horizontal="center" vertical="center"/>
    </xf>
    <xf numFmtId="0" fontId="72" fillId="61" borderId="32" xfId="2466" applyFont="1" applyFill="1" applyBorder="1" applyAlignment="1">
      <alignment horizontal="center" vertical="center"/>
    </xf>
    <xf numFmtId="43" fontId="386" fillId="0" borderId="0" xfId="294" applyFont="1" applyAlignment="1">
      <alignment horizontal="center"/>
    </xf>
    <xf numFmtId="174" fontId="384" fillId="27" borderId="0" xfId="0" applyFont="1" applyFill="1" applyAlignment="1">
      <alignment horizontal="left" vertical="center" wrapText="1"/>
    </xf>
    <xf numFmtId="174" fontId="213" fillId="70" borderId="23" xfId="359" applyFont="1" applyFill="1" applyBorder="1" applyAlignment="1">
      <alignment horizontal="center" vertical="center"/>
    </xf>
    <xf numFmtId="174" fontId="213" fillId="70" borderId="33" xfId="359" applyFont="1" applyFill="1" applyBorder="1" applyAlignment="1">
      <alignment horizontal="center" vertical="center"/>
    </xf>
    <xf numFmtId="174" fontId="213" fillId="70" borderId="32" xfId="359" applyFont="1" applyFill="1" applyBorder="1" applyAlignment="1">
      <alignment horizontal="center" vertical="center"/>
    </xf>
    <xf numFmtId="43" fontId="0" fillId="0" borderId="11" xfId="294" applyFont="1" applyBorder="1" applyAlignment="1">
      <alignment horizontal="center" vertical="center"/>
    </xf>
    <xf numFmtId="174" fontId="387" fillId="0" borderId="0" xfId="0" applyFont="1" applyAlignment="1">
      <alignment horizontal="center"/>
    </xf>
    <xf numFmtId="174" fontId="72" fillId="70" borderId="35" xfId="0" applyFont="1" applyFill="1" applyBorder="1" applyAlignment="1">
      <alignment horizontal="center" vertical="center" wrapText="1"/>
    </xf>
    <xf numFmtId="174" fontId="72" fillId="70" borderId="53" xfId="0" applyFont="1" applyFill="1" applyBorder="1" applyAlignment="1">
      <alignment horizontal="center" vertical="center" wrapText="1"/>
    </xf>
    <xf numFmtId="174" fontId="72" fillId="70" borderId="36" xfId="0" applyFont="1" applyFill="1" applyBorder="1" applyAlignment="1">
      <alignment horizontal="center" vertical="center" wrapText="1"/>
    </xf>
    <xf numFmtId="0" fontId="60" fillId="27" borderId="0" xfId="294" applyNumberFormat="1" applyFont="1" applyFill="1" applyBorder="1" applyAlignment="1">
      <alignment horizontal="left" vertical="center"/>
    </xf>
    <xf numFmtId="0" fontId="60" fillId="25" borderId="24" xfId="294" applyNumberFormat="1" applyFont="1" applyFill="1" applyBorder="1" applyAlignment="1">
      <alignment horizontal="left" vertical="top" wrapText="1"/>
    </xf>
    <xf numFmtId="0" fontId="60" fillId="25" borderId="0" xfId="294" applyNumberFormat="1" applyFont="1" applyFill="1" applyBorder="1" applyAlignment="1">
      <alignment horizontal="left" vertical="top" wrapText="1"/>
    </xf>
    <xf numFmtId="174" fontId="207" fillId="61" borderId="23" xfId="359" applyFont="1" applyFill="1" applyBorder="1" applyAlignment="1">
      <alignment horizontal="center" vertical="center"/>
    </xf>
    <xf numFmtId="174" fontId="207" fillId="61" borderId="33" xfId="359" applyFont="1" applyFill="1" applyBorder="1" applyAlignment="1">
      <alignment horizontal="center" vertical="center"/>
    </xf>
    <xf numFmtId="174" fontId="207" fillId="61" borderId="32" xfId="359" applyFont="1" applyFill="1" applyBorder="1" applyAlignment="1">
      <alignment horizontal="center" vertical="center"/>
    </xf>
    <xf numFmtId="174" fontId="207" fillId="70" borderId="23" xfId="359" applyFont="1" applyFill="1" applyBorder="1" applyAlignment="1">
      <alignment horizontal="center" vertical="center"/>
    </xf>
    <xf numFmtId="174" fontId="207" fillId="70" borderId="33" xfId="359" applyFont="1" applyFill="1" applyBorder="1" applyAlignment="1">
      <alignment horizontal="center" vertical="center"/>
    </xf>
    <xf numFmtId="174" fontId="207" fillId="70" borderId="32" xfId="359" applyFont="1" applyFill="1" applyBorder="1" applyAlignment="1">
      <alignment horizontal="center" vertical="center"/>
    </xf>
    <xf numFmtId="174" fontId="72" fillId="70" borderId="39" xfId="0" applyFont="1" applyFill="1" applyBorder="1" applyAlignment="1">
      <alignment horizontal="center" vertical="center" wrapText="1"/>
    </xf>
    <xf numFmtId="174" fontId="72" fillId="70" borderId="54" xfId="0" applyFont="1" applyFill="1" applyBorder="1" applyAlignment="1">
      <alignment horizontal="center" vertical="center" wrapText="1"/>
    </xf>
    <xf numFmtId="174" fontId="72" fillId="70" borderId="40" xfId="0" applyFont="1" applyFill="1" applyBorder="1" applyAlignment="1">
      <alignment horizontal="center" vertical="center" wrapText="1"/>
    </xf>
    <xf numFmtId="0" fontId="188" fillId="70" borderId="25" xfId="712" applyFont="1" applyFill="1" applyBorder="1" applyAlignment="1">
      <alignment horizontal="center" vertical="center" wrapText="1"/>
    </xf>
    <xf numFmtId="0" fontId="188" fillId="70" borderId="24" xfId="712" applyFont="1" applyFill="1" applyBorder="1" applyAlignment="1">
      <alignment horizontal="center" vertical="center" wrapText="1"/>
    </xf>
    <xf numFmtId="0" fontId="188" fillId="70" borderId="26" xfId="712" applyFont="1" applyFill="1" applyBorder="1" applyAlignment="1">
      <alignment horizontal="center" vertical="center" wrapText="1"/>
    </xf>
    <xf numFmtId="0" fontId="207" fillId="70" borderId="14" xfId="712" applyFont="1" applyFill="1" applyBorder="1" applyAlignment="1">
      <alignment horizontal="center" vertical="center" wrapText="1"/>
    </xf>
    <xf numFmtId="0" fontId="207" fillId="70" borderId="11" xfId="712" applyFont="1" applyFill="1" applyBorder="1" applyAlignment="1">
      <alignment horizontal="center" vertical="center" wrapText="1"/>
    </xf>
    <xf numFmtId="0" fontId="207" fillId="70" borderId="16" xfId="712" applyFont="1" applyFill="1" applyBorder="1" applyAlignment="1">
      <alignment horizontal="center" vertical="center" wrapText="1"/>
    </xf>
    <xf numFmtId="174" fontId="389" fillId="27" borderId="0" xfId="0" applyFont="1" applyFill="1" applyAlignment="1">
      <alignment horizontal="left"/>
    </xf>
    <xf numFmtId="0" fontId="72" fillId="70" borderId="25" xfId="713" applyFont="1" applyFill="1" applyBorder="1" applyAlignment="1">
      <alignment horizontal="center" vertical="center" wrapText="1"/>
    </xf>
    <xf numFmtId="0" fontId="72" fillId="70" borderId="24" xfId="713" applyFont="1" applyFill="1" applyBorder="1" applyAlignment="1">
      <alignment horizontal="center" vertical="center" wrapText="1"/>
    </xf>
    <xf numFmtId="0" fontId="72" fillId="70" borderId="26" xfId="713" applyFont="1" applyFill="1" applyBorder="1" applyAlignment="1">
      <alignment horizontal="center" vertical="center" wrapText="1"/>
    </xf>
    <xf numFmtId="0" fontId="64" fillId="70" borderId="14" xfId="713" applyFont="1" applyFill="1" applyBorder="1" applyAlignment="1">
      <alignment horizontal="center" vertical="center" wrapText="1"/>
    </xf>
    <xf numFmtId="0" fontId="64" fillId="70" borderId="11" xfId="713" applyFont="1" applyFill="1" applyBorder="1" applyAlignment="1">
      <alignment horizontal="center" vertical="center" wrapText="1"/>
    </xf>
    <xf numFmtId="0" fontId="64" fillId="70" borderId="16" xfId="713" applyFont="1" applyFill="1" applyBorder="1" applyAlignment="1">
      <alignment horizontal="center" vertical="center" wrapText="1"/>
    </xf>
    <xf numFmtId="174" fontId="228" fillId="0" borderId="24" xfId="0" applyFont="1" applyBorder="1" applyAlignment="1">
      <alignment horizontal="left" vertical="center" wrapText="1"/>
    </xf>
    <xf numFmtId="174" fontId="209" fillId="70" borderId="37" xfId="0" applyFont="1" applyFill="1" applyBorder="1" applyAlignment="1">
      <alignment horizontal="center" vertical="center" wrapText="1"/>
    </xf>
    <xf numFmtId="174" fontId="209" fillId="70" borderId="0" xfId="0" applyFont="1" applyFill="1" applyAlignment="1">
      <alignment horizontal="center" vertical="center" wrapText="1"/>
    </xf>
    <xf numFmtId="174" fontId="188" fillId="70" borderId="0" xfId="0" applyFont="1" applyFill="1" applyAlignment="1">
      <alignment horizontal="center" vertical="center" wrapText="1"/>
    </xf>
    <xf numFmtId="174" fontId="52" fillId="70" borderId="0" xfId="413" applyFont="1" applyFill="1" applyAlignment="1">
      <alignment horizontal="center" vertical="center" wrapText="1"/>
    </xf>
    <xf numFmtId="174" fontId="37" fillId="70" borderId="0" xfId="413" applyFont="1" applyFill="1" applyAlignment="1">
      <alignment horizontal="center" wrapText="1"/>
    </xf>
    <xf numFmtId="174" fontId="183" fillId="70" borderId="0" xfId="413" applyFont="1" applyFill="1" applyAlignment="1">
      <alignment horizontal="center" vertical="center" wrapText="1"/>
    </xf>
    <xf numFmtId="174" fontId="72" fillId="70"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0" borderId="0" xfId="0" applyFont="1" applyFill="1" applyAlignment="1">
      <alignment horizontal="center" vertical="center" wrapText="1"/>
    </xf>
    <xf numFmtId="174" fontId="188" fillId="70" borderId="0" xfId="0" applyFont="1" applyFill="1" applyAlignment="1">
      <alignment horizontal="center" vertical="top" wrapText="1"/>
    </xf>
    <xf numFmtId="174" fontId="306" fillId="25" borderId="0" xfId="0" applyFont="1" applyFill="1" applyAlignment="1">
      <alignment horizontal="justify" vertical="top" wrapText="1"/>
    </xf>
    <xf numFmtId="174" fontId="306" fillId="25" borderId="0" xfId="0" applyFont="1" applyFill="1" applyAlignment="1">
      <alignment horizontal="justify" vertical="top"/>
    </xf>
    <xf numFmtId="174" fontId="74" fillId="70" borderId="0" xfId="0" applyFont="1" applyFill="1" applyAlignment="1">
      <alignment horizontal="center" vertical="center" wrapText="1"/>
    </xf>
    <xf numFmtId="174" fontId="183" fillId="70" borderId="0" xfId="0" applyFont="1" applyFill="1" applyAlignment="1">
      <alignment horizontal="center" vertical="top" wrapText="1"/>
    </xf>
    <xf numFmtId="0" fontId="43" fillId="0" borderId="0" xfId="549" applyFont="1" applyAlignment="1">
      <alignment horizontal="left" vertical="center"/>
    </xf>
    <xf numFmtId="0" fontId="42" fillId="70" borderId="0" xfId="549" applyFont="1" applyFill="1" applyAlignment="1">
      <alignment horizontal="center" vertical="center" wrapText="1"/>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9" fillId="70" borderId="0" xfId="417" applyFont="1" applyFill="1" applyAlignment="1">
      <alignment horizontal="center" vertical="center" wrapText="1"/>
    </xf>
    <xf numFmtId="174" fontId="42" fillId="70" borderId="0" xfId="417" applyFont="1" applyFill="1" applyAlignment="1">
      <alignment horizontal="center" vertical="center" wrapText="1"/>
    </xf>
    <xf numFmtId="49" fontId="42" fillId="70" borderId="0" xfId="0" applyNumberFormat="1" applyFont="1" applyFill="1" applyAlignment="1">
      <alignment horizontal="center" vertical="center" wrapText="1"/>
    </xf>
    <xf numFmtId="174" fontId="52" fillId="70" borderId="12" xfId="421" applyFont="1" applyFill="1" applyBorder="1" applyAlignment="1">
      <alignment horizontal="center" vertical="center" wrapText="1"/>
    </xf>
    <xf numFmtId="174" fontId="61" fillId="25" borderId="0" xfId="421" applyFont="1" applyFill="1" applyAlignment="1">
      <alignment horizontal="left" vertical="top" wrapText="1"/>
    </xf>
    <xf numFmtId="174" fontId="72" fillId="70" borderId="0" xfId="606" applyFont="1" applyFill="1" applyAlignment="1">
      <alignment horizontal="center" vertical="center" wrapText="1"/>
    </xf>
    <xf numFmtId="174" fontId="43" fillId="0" borderId="0" xfId="603" applyFont="1" applyAlignment="1">
      <alignment horizontal="left" vertical="top" wrapText="1"/>
    </xf>
    <xf numFmtId="174" fontId="148" fillId="60" borderId="23" xfId="603" applyFont="1" applyFill="1" applyBorder="1" applyAlignment="1">
      <alignment horizontal="center" vertical="center" wrapText="1"/>
    </xf>
    <xf numFmtId="174" fontId="148" fillId="60" borderId="33" xfId="603" applyFont="1" applyFill="1" applyBorder="1" applyAlignment="1">
      <alignment horizontal="center" vertical="center" wrapText="1"/>
    </xf>
    <xf numFmtId="174" fontId="148" fillId="60" borderId="32" xfId="603" applyFont="1" applyFill="1" applyBorder="1" applyAlignment="1">
      <alignment horizontal="center" vertical="center" wrapText="1"/>
    </xf>
    <xf numFmtId="174" fontId="69" fillId="70" borderId="0" xfId="606" applyFont="1" applyFill="1" applyAlignment="1">
      <alignment horizontal="center" vertical="center" wrapText="1"/>
    </xf>
    <xf numFmtId="174" fontId="64" fillId="60" borderId="0" xfId="0" applyFont="1" applyFill="1" applyAlignment="1">
      <alignment horizontal="center" wrapText="1"/>
    </xf>
    <xf numFmtId="174" fontId="69" fillId="60" borderId="0" xfId="0" applyFont="1" applyFill="1" applyAlignment="1">
      <alignment horizontal="center" vertical="center" wrapText="1"/>
    </xf>
    <xf numFmtId="43" fontId="66" fillId="60" borderId="25" xfId="0" applyNumberFormat="1" applyFont="1" applyFill="1" applyBorder="1" applyAlignment="1">
      <alignment horizontal="center" vertical="center" wrapText="1"/>
    </xf>
    <xf numFmtId="43" fontId="66" fillId="60" borderId="24" xfId="0" applyNumberFormat="1" applyFont="1" applyFill="1" applyBorder="1" applyAlignment="1">
      <alignment horizontal="center" vertical="center" wrapText="1"/>
    </xf>
    <xf numFmtId="43" fontId="66" fillId="60" borderId="26" xfId="0" applyNumberFormat="1" applyFont="1" applyFill="1" applyBorder="1" applyAlignment="1">
      <alignment horizontal="center" vertical="center" wrapText="1"/>
    </xf>
    <xf numFmtId="174" fontId="37" fillId="60" borderId="0" xfId="0" applyFont="1" applyFill="1" applyAlignment="1">
      <alignment horizontal="center" vertical="center" wrapText="1"/>
    </xf>
    <xf numFmtId="174" fontId="295" fillId="25" borderId="0" xfId="0" applyFont="1" applyFill="1" applyAlignment="1">
      <alignment horizontal="justify" vertical="top" wrapText="1"/>
    </xf>
    <xf numFmtId="0" fontId="207" fillId="70" borderId="0" xfId="0" applyNumberFormat="1" applyFont="1" applyFill="1" applyAlignment="1">
      <alignment horizontal="center" vertical="center" wrapText="1"/>
    </xf>
    <xf numFmtId="0" fontId="207" fillId="70" borderId="0" xfId="0" applyNumberFormat="1" applyFont="1" applyFill="1" applyAlignment="1">
      <alignment horizontal="center" vertical="center"/>
    </xf>
    <xf numFmtId="174" fontId="4" fillId="25" borderId="0" xfId="0" applyFont="1" applyFill="1" applyAlignment="1">
      <alignment horizontal="left" vertical="top" wrapText="1"/>
    </xf>
    <xf numFmtId="0" fontId="366" fillId="0" borderId="0" xfId="2613" applyFont="1" applyAlignment="1">
      <alignment horizontal="left" vertical="center"/>
    </xf>
    <xf numFmtId="0" fontId="366" fillId="0" borderId="0" xfId="2613" applyFont="1" applyAlignment="1">
      <alignment horizontal="left" vertical="center" wrapText="1"/>
    </xf>
    <xf numFmtId="0" fontId="367" fillId="0" borderId="0" xfId="2613" applyFont="1" applyAlignment="1">
      <alignment horizontal="left" vertical="center"/>
    </xf>
    <xf numFmtId="0" fontId="368" fillId="82" borderId="99" xfId="2613" applyFont="1" applyFill="1" applyBorder="1" applyAlignment="1">
      <alignment horizontal="left" vertical="center" wrapText="1"/>
    </xf>
    <xf numFmtId="0" fontId="368" fillId="82" borderId="101" xfId="2613" applyFont="1" applyFill="1" applyBorder="1" applyAlignment="1">
      <alignment horizontal="left" vertical="center" wrapText="1"/>
    </xf>
    <xf numFmtId="0" fontId="368" fillId="82" borderId="99" xfId="2613" applyFont="1" applyFill="1" applyBorder="1" applyAlignment="1">
      <alignment horizontal="center" vertical="center" wrapText="1"/>
    </xf>
    <xf numFmtId="0" fontId="368" fillId="82" borderId="101" xfId="2613" applyFont="1" applyFill="1" applyBorder="1" applyAlignment="1">
      <alignment horizontal="center" vertical="center" wrapText="1"/>
    </xf>
    <xf numFmtId="0" fontId="370" fillId="25" borderId="0" xfId="742" applyFont="1" applyFill="1" applyAlignment="1">
      <alignment horizontal="left" vertical="center"/>
    </xf>
    <xf numFmtId="0" fontId="370" fillId="25" borderId="104" xfId="742" applyFont="1" applyFill="1" applyBorder="1" applyAlignment="1">
      <alignment horizontal="left" vertical="center"/>
    </xf>
    <xf numFmtId="0" fontId="368" fillId="82" borderId="106" xfId="2613" applyFont="1" applyFill="1" applyBorder="1" applyAlignment="1">
      <alignment horizontal="center" vertical="center" wrapText="1"/>
    </xf>
    <xf numFmtId="0" fontId="368" fillId="82" borderId="55" xfId="2613" applyFont="1" applyFill="1" applyBorder="1" applyAlignment="1">
      <alignment horizontal="center" vertical="center" wrapText="1"/>
    </xf>
    <xf numFmtId="0" fontId="370" fillId="0" borderId="105" xfId="2613" applyFont="1" applyBorder="1" applyAlignment="1">
      <alignment horizontal="left" vertical="center"/>
    </xf>
    <xf numFmtId="0" fontId="370" fillId="0" borderId="107" xfId="2613" applyFont="1" applyBorder="1" applyAlignment="1">
      <alignment horizontal="left" vertical="center"/>
    </xf>
    <xf numFmtId="181" fontId="61" fillId="25" borderId="0" xfId="0" applyNumberFormat="1" applyFont="1" applyFill="1" applyAlignment="1">
      <alignment horizontal="justify" vertical="top" wrapText="1"/>
    </xf>
    <xf numFmtId="174" fontId="47" fillId="25" borderId="0" xfId="0" applyFont="1" applyFill="1" applyAlignment="1">
      <alignment horizontal="left" vertical="top" wrapText="1"/>
    </xf>
    <xf numFmtId="0" fontId="366" fillId="0" borderId="0" xfId="2613" applyFont="1" applyAlignment="1">
      <alignment horizontal="left"/>
    </xf>
    <xf numFmtId="0" fontId="367" fillId="0" borderId="95" xfId="2613" applyFont="1" applyBorder="1" applyAlignment="1">
      <alignment horizontal="left"/>
    </xf>
    <xf numFmtId="0" fontId="368" fillId="82" borderId="96" xfId="2613" applyFont="1" applyFill="1" applyBorder="1" applyAlignment="1">
      <alignment horizontal="left" vertical="center" wrapText="1"/>
    </xf>
    <xf numFmtId="0" fontId="368" fillId="82" borderId="97" xfId="2613" applyFont="1" applyFill="1" applyBorder="1" applyAlignment="1">
      <alignment horizontal="left" vertical="center" wrapText="1"/>
    </xf>
    <xf numFmtId="0" fontId="368" fillId="82" borderId="96" xfId="2613" applyFont="1" applyFill="1" applyBorder="1" applyAlignment="1">
      <alignment horizontal="center" vertical="center" wrapText="1"/>
    </xf>
    <xf numFmtId="0" fontId="368" fillId="82" borderId="97" xfId="2613" applyFont="1" applyFill="1" applyBorder="1" applyAlignment="1">
      <alignment horizontal="center" vertical="center" wrapText="1"/>
    </xf>
    <xf numFmtId="174" fontId="37" fillId="70" borderId="12" xfId="0" applyFont="1" applyFill="1" applyBorder="1" applyAlignment="1">
      <alignment horizontal="center" vertical="center" wrapText="1"/>
    </xf>
    <xf numFmtId="49" fontId="62" fillId="25" borderId="25" xfId="0" applyNumberFormat="1" applyFont="1" applyFill="1" applyBorder="1" applyAlignment="1">
      <alignment horizontal="left" vertical="center" wrapText="1"/>
    </xf>
    <xf numFmtId="49" fontId="62" fillId="25" borderId="24" xfId="0" applyNumberFormat="1" applyFont="1" applyFill="1" applyBorder="1" applyAlignment="1">
      <alignment horizontal="left" vertical="center" wrapText="1"/>
    </xf>
    <xf numFmtId="174" fontId="23" fillId="0" borderId="0" xfId="0" applyFont="1" applyAlignment="1">
      <alignment horizontal="center"/>
    </xf>
    <xf numFmtId="174" fontId="96" fillId="25" borderId="0" xfId="0" applyFont="1" applyFill="1" applyAlignment="1">
      <alignment horizontal="left" vertical="top" wrapText="1"/>
    </xf>
    <xf numFmtId="174" fontId="163" fillId="25" borderId="0" xfId="0" applyFont="1" applyFill="1" applyAlignment="1">
      <alignment horizontal="justify" vertical="justify" wrapText="1"/>
    </xf>
    <xf numFmtId="174" fontId="188" fillId="70" borderId="25" xfId="0" applyFont="1" applyFill="1" applyBorder="1" applyAlignment="1">
      <alignment horizontal="center" vertical="center" wrapText="1"/>
    </xf>
    <xf numFmtId="174" fontId="188" fillId="70" borderId="24" xfId="0" applyFont="1" applyFill="1" applyBorder="1" applyAlignment="1">
      <alignment horizontal="center" vertical="center" wrapText="1"/>
    </xf>
    <xf numFmtId="174" fontId="188" fillId="70" borderId="26" xfId="0" applyFont="1" applyFill="1" applyBorder="1" applyAlignment="1">
      <alignment horizontal="center" vertical="center" wrapText="1"/>
    </xf>
    <xf numFmtId="174" fontId="188" fillId="70" borderId="14" xfId="0" applyFont="1" applyFill="1" applyBorder="1" applyAlignment="1">
      <alignment horizontal="center" vertical="center" wrapText="1"/>
    </xf>
    <xf numFmtId="174" fontId="188" fillId="70" borderId="11" xfId="0" applyFont="1" applyFill="1" applyBorder="1" applyAlignment="1">
      <alignment horizontal="center" vertical="center" wrapText="1"/>
    </xf>
    <xf numFmtId="174" fontId="188" fillId="70" borderId="16" xfId="0" applyFont="1" applyFill="1" applyBorder="1" applyAlignment="1">
      <alignment horizontal="center" vertical="center" wrapText="1"/>
    </xf>
    <xf numFmtId="174" fontId="188" fillId="60" borderId="0" xfId="0" applyFont="1" applyFill="1" applyAlignment="1">
      <alignment horizontal="center" vertical="center" wrapText="1"/>
    </xf>
    <xf numFmtId="174" fontId="202" fillId="0" borderId="0" xfId="0" applyFont="1" applyAlignment="1">
      <alignment horizontal="center" vertical="center" wrapText="1"/>
    </xf>
    <xf numFmtId="49" fontId="207" fillId="70" borderId="0" xfId="0" applyNumberFormat="1" applyFont="1" applyFill="1" applyAlignment="1">
      <alignment horizontal="center" vertical="center" wrapText="1"/>
    </xf>
    <xf numFmtId="49" fontId="148" fillId="70" borderId="0" xfId="0" applyNumberFormat="1" applyFont="1" applyFill="1" applyAlignment="1">
      <alignment horizontal="center" vertical="center" wrapText="1"/>
    </xf>
    <xf numFmtId="0" fontId="148" fillId="70" borderId="0" xfId="0" applyNumberFormat="1" applyFont="1" applyFill="1" applyAlignment="1">
      <alignment horizontal="center" vertical="center" wrapText="1"/>
    </xf>
    <xf numFmtId="174" fontId="148" fillId="70" borderId="0" xfId="0" applyFont="1" applyFill="1" applyAlignment="1">
      <alignment horizontal="center" vertical="center" wrapText="1"/>
    </xf>
    <xf numFmtId="49" fontId="182" fillId="25" borderId="25" xfId="0" applyNumberFormat="1" applyFont="1" applyFill="1" applyBorder="1" applyAlignment="1">
      <alignment horizontal="left"/>
    </xf>
    <xf numFmtId="49" fontId="182" fillId="25" borderId="0" xfId="0" applyNumberFormat="1" applyFont="1" applyFill="1" applyAlignment="1">
      <alignment horizontal="left"/>
    </xf>
    <xf numFmtId="174" fontId="350" fillId="80" borderId="23" xfId="0" applyFont="1" applyFill="1" applyBorder="1" applyAlignment="1">
      <alignment horizontal="center"/>
    </xf>
    <xf numFmtId="174" fontId="350" fillId="80" borderId="33" xfId="0" applyFont="1" applyFill="1" applyBorder="1" applyAlignment="1">
      <alignment horizontal="center"/>
    </xf>
    <xf numFmtId="174" fontId="350" fillId="80" borderId="32" xfId="0" applyFont="1" applyFill="1" applyBorder="1" applyAlignment="1">
      <alignment horizontal="center"/>
    </xf>
    <xf numFmtId="174" fontId="351" fillId="90" borderId="23" xfId="0" applyFont="1" applyFill="1" applyBorder="1" applyAlignment="1">
      <alignment horizontal="center"/>
    </xf>
    <xf numFmtId="174" fontId="351" fillId="90" borderId="33" xfId="0" applyFont="1" applyFill="1" applyBorder="1" applyAlignment="1">
      <alignment horizontal="center"/>
    </xf>
    <xf numFmtId="174" fontId="351" fillId="90" borderId="32" xfId="0" applyFont="1" applyFill="1" applyBorder="1" applyAlignment="1">
      <alignment horizontal="center"/>
    </xf>
    <xf numFmtId="174" fontId="351" fillId="81" borderId="23" xfId="0" applyFont="1" applyFill="1" applyBorder="1" applyAlignment="1">
      <alignment horizontal="center"/>
    </xf>
    <xf numFmtId="174" fontId="351" fillId="81" borderId="33" xfId="0" applyFont="1" applyFill="1" applyBorder="1" applyAlignment="1">
      <alignment horizontal="center"/>
    </xf>
    <xf numFmtId="174" fontId="351" fillId="81" borderId="32" xfId="0" applyFont="1" applyFill="1" applyBorder="1" applyAlignment="1">
      <alignment horizontal="center"/>
    </xf>
    <xf numFmtId="0" fontId="209" fillId="70" borderId="0" xfId="408" applyFont="1" applyFill="1" applyAlignment="1">
      <alignment horizontal="center" vertical="center" wrapText="1"/>
    </xf>
    <xf numFmtId="49" fontId="142" fillId="70" borderId="0" xfId="408" applyNumberFormat="1" applyFont="1" applyFill="1" applyAlignment="1">
      <alignment horizontal="center" vertical="center" wrapText="1"/>
    </xf>
    <xf numFmtId="0" fontId="142" fillId="70" borderId="0" xfId="408" applyFont="1" applyFill="1" applyAlignment="1">
      <alignment horizontal="center" vertical="center" wrapText="1"/>
    </xf>
    <xf numFmtId="174" fontId="350" fillId="80" borderId="25" xfId="0" applyFont="1" applyFill="1" applyBorder="1" applyAlignment="1">
      <alignment horizontal="center" vertical="center"/>
    </xf>
    <xf numFmtId="174" fontId="350" fillId="80" borderId="26" xfId="0" applyFont="1" applyFill="1" applyBorder="1" applyAlignment="1">
      <alignment horizontal="center" vertical="center"/>
    </xf>
    <xf numFmtId="174" fontId="350" fillId="80" borderId="14" xfId="0" applyFont="1" applyFill="1" applyBorder="1" applyAlignment="1">
      <alignment horizontal="center" vertical="center"/>
    </xf>
    <xf numFmtId="174" fontId="350" fillId="80" borderId="16" xfId="0" applyFont="1" applyFill="1" applyBorder="1" applyAlignment="1">
      <alignment horizontal="center" vertical="center"/>
    </xf>
    <xf numFmtId="174" fontId="404" fillId="80" borderId="25" xfId="0" applyFont="1" applyFill="1" applyBorder="1" applyAlignment="1">
      <alignment horizontal="center" vertical="center"/>
    </xf>
    <xf numFmtId="174" fontId="404" fillId="80" borderId="26" xfId="0" applyFont="1" applyFill="1" applyBorder="1" applyAlignment="1">
      <alignment horizontal="center" vertical="center"/>
    </xf>
    <xf numFmtId="174" fontId="404" fillId="80" borderId="14" xfId="0" applyFont="1" applyFill="1" applyBorder="1" applyAlignment="1">
      <alignment horizontal="center" vertical="center"/>
    </xf>
    <xf numFmtId="174" fontId="404" fillId="80" borderId="16" xfId="0" applyFont="1" applyFill="1" applyBorder="1" applyAlignment="1">
      <alignment horizontal="center" vertical="center"/>
    </xf>
    <xf numFmtId="0" fontId="193" fillId="70" borderId="0" xfId="408" applyFont="1" applyFill="1" applyAlignment="1">
      <alignment horizontal="center" vertical="center" wrapText="1"/>
    </xf>
    <xf numFmtId="0" fontId="182" fillId="0" borderId="0" xfId="889" applyFont="1" applyAlignment="1">
      <alignment horizontal="center"/>
    </xf>
    <xf numFmtId="174" fontId="407" fillId="0" borderId="0" xfId="0" applyFont="1" applyAlignment="1">
      <alignment horizontal="center" vertical="center" wrapText="1"/>
    </xf>
    <xf numFmtId="174" fontId="34" fillId="0" borderId="0" xfId="0" applyFont="1" applyAlignment="1">
      <alignment horizontal="center" vertical="center" wrapText="1"/>
    </xf>
    <xf numFmtId="174" fontId="376" fillId="0" borderId="0" xfId="0" applyFont="1" applyAlignment="1">
      <alignment horizontal="center" vertical="center" wrapText="1"/>
    </xf>
    <xf numFmtId="174" fontId="375" fillId="0" borderId="0" xfId="0" applyFont="1" applyAlignment="1">
      <alignment horizontal="center" vertical="center" wrapText="1"/>
    </xf>
    <xf numFmtId="174" fontId="0" fillId="0" borderId="31" xfId="0" applyBorder="1" applyAlignment="1">
      <alignment horizontal="center"/>
    </xf>
    <xf numFmtId="174" fontId="350" fillId="80" borderId="24" xfId="0" applyFont="1" applyFill="1" applyBorder="1" applyAlignment="1">
      <alignment horizontal="center" vertical="center"/>
    </xf>
    <xf numFmtId="174" fontId="350" fillId="80" borderId="11" xfId="0" applyFont="1" applyFill="1" applyBorder="1" applyAlignment="1">
      <alignment horizontal="center" vertical="center"/>
    </xf>
    <xf numFmtId="174" fontId="40" fillId="0" borderId="33" xfId="0" applyFont="1" applyBorder="1" applyAlignment="1"/>
    <xf numFmtId="174" fontId="40" fillId="0" borderId="24" xfId="0" applyFont="1" applyBorder="1" applyAlignment="1"/>
  </cellXfs>
  <cellStyles count="2615">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8" xfId="313" xr:uid="{00000000-0005-0000-0000-00006C020000}"/>
    <cellStyle name="Millares 8 2" xfId="704" xr:uid="{00000000-0005-0000-0000-00006D020000}"/>
    <cellStyle name="Millares 8 2 2" xfId="1730" xr:uid="{00000000-0005-0000-0000-00006E020000}"/>
    <cellStyle name="Millares 8 3" xfId="1191" xr:uid="{00000000-0005-0000-0000-00006F020000}"/>
    <cellStyle name="Millares 9" xfId="597" xr:uid="{00000000-0005-0000-0000-000070020000}"/>
    <cellStyle name="Millares 9 2" xfId="705" xr:uid="{00000000-0005-0000-0000-000071020000}"/>
    <cellStyle name="Millares 9 2 2" xfId="706" xr:uid="{00000000-0005-0000-0000-000072020000}"/>
    <cellStyle name="Moneda" xfId="2614" builtinId="4"/>
    <cellStyle name="Moneda 10" xfId="1731" xr:uid="{00000000-0005-0000-0000-000074020000}"/>
    <cellStyle name="Moneda 11" xfId="2590" xr:uid="{00000000-0005-0000-0000-000075020000}"/>
    <cellStyle name="Moneda 2" xfId="314" xr:uid="{00000000-0005-0000-0000-000076020000}"/>
    <cellStyle name="Moneda 2 2" xfId="552" xr:uid="{00000000-0005-0000-0000-000077020000}"/>
    <cellStyle name="Moneda 2 3" xfId="1192" xr:uid="{00000000-0005-0000-0000-000078020000}"/>
    <cellStyle name="Moneda 2 4" xfId="2600" xr:uid="{00000000-0005-0000-0000-000079020000}"/>
    <cellStyle name="Moneda 3" xfId="1193" xr:uid="{00000000-0005-0000-0000-00007A020000}"/>
    <cellStyle name="Moneda 3 2" xfId="1732" xr:uid="{00000000-0005-0000-0000-00007B020000}"/>
    <cellStyle name="Moneda 3 3" xfId="2479" xr:uid="{00000000-0005-0000-0000-00007C020000}"/>
    <cellStyle name="Moneda 4" xfId="1194" xr:uid="{00000000-0005-0000-0000-00007D020000}"/>
    <cellStyle name="Moneda 4 2" xfId="1733" xr:uid="{00000000-0005-0000-0000-00007E020000}"/>
    <cellStyle name="Moneda 4 3" xfId="2481" xr:uid="{00000000-0005-0000-0000-00007F020000}"/>
    <cellStyle name="Moneda 5" xfId="1195" xr:uid="{00000000-0005-0000-0000-000080020000}"/>
    <cellStyle name="Moneda 5 2" xfId="1734" xr:uid="{00000000-0005-0000-0000-000081020000}"/>
    <cellStyle name="Moneda 5 3" xfId="2482" xr:uid="{00000000-0005-0000-0000-000082020000}"/>
    <cellStyle name="Moneda 6" xfId="1196" xr:uid="{00000000-0005-0000-0000-000083020000}"/>
    <cellStyle name="Moneda 6 2" xfId="1735" xr:uid="{00000000-0005-0000-0000-000084020000}"/>
    <cellStyle name="Moneda 7" xfId="1197" xr:uid="{00000000-0005-0000-0000-000085020000}"/>
    <cellStyle name="Moneda 7 2" xfId="1736" xr:uid="{00000000-0005-0000-0000-000086020000}"/>
    <cellStyle name="Moneda 8" xfId="1198" xr:uid="{00000000-0005-0000-0000-000087020000}"/>
    <cellStyle name="Moneda 8 2" xfId="1737" xr:uid="{00000000-0005-0000-0000-000088020000}"/>
    <cellStyle name="Moneda 9" xfId="1199" xr:uid="{00000000-0005-0000-0000-000089020000}"/>
    <cellStyle name="Moneda 9 2" xfId="1738" xr:uid="{00000000-0005-0000-0000-00008A020000}"/>
    <cellStyle name="Neutral" xfId="1106" builtinId="28" customBuiltin="1"/>
    <cellStyle name="Neutral 2" xfId="315" xr:uid="{00000000-0005-0000-0000-00008C020000}"/>
    <cellStyle name="Neutral 2 2" xfId="316" xr:uid="{00000000-0005-0000-0000-00008D020000}"/>
    <cellStyle name="Normal" xfId="0" builtinId="0"/>
    <cellStyle name="Normal 10" xfId="317" xr:uid="{00000000-0005-0000-0000-00008F020000}"/>
    <cellStyle name="Normal 10 2" xfId="318" xr:uid="{00000000-0005-0000-0000-000090020000}"/>
    <cellStyle name="Normal 10 2 2" xfId="319" xr:uid="{00000000-0005-0000-0000-000091020000}"/>
    <cellStyle name="Normal 10 2 2 2" xfId="570" xr:uid="{00000000-0005-0000-0000-000092020000}"/>
    <cellStyle name="Normal 10 2 2 2 2" xfId="1018" xr:uid="{00000000-0005-0000-0000-000093020000}"/>
    <cellStyle name="Normal 10 2 2 2 2 2" xfId="1203" xr:uid="{00000000-0005-0000-0000-000094020000}"/>
    <cellStyle name="Normal 10 2 2 2 3" xfId="1202" xr:uid="{00000000-0005-0000-0000-000095020000}"/>
    <cellStyle name="Normal 10 2 2 3" xfId="1204" xr:uid="{00000000-0005-0000-0000-000096020000}"/>
    <cellStyle name="Normal 10 2 2 3 2" xfId="1739" xr:uid="{00000000-0005-0000-0000-000097020000}"/>
    <cellStyle name="Normal 10 2 2 4" xfId="1201" xr:uid="{00000000-0005-0000-0000-000098020000}"/>
    <cellStyle name="Normal 10 2 3" xfId="601" xr:uid="{00000000-0005-0000-0000-000099020000}"/>
    <cellStyle name="Normal 10 2 3 2" xfId="1206" xr:uid="{00000000-0005-0000-0000-00009A020000}"/>
    <cellStyle name="Normal 10 2 3 2 2" xfId="1740" xr:uid="{00000000-0005-0000-0000-00009B020000}"/>
    <cellStyle name="Normal 10 2 3 3" xfId="1205" xr:uid="{00000000-0005-0000-0000-00009C020000}"/>
    <cellStyle name="Normal 10 2 4" xfId="1207" xr:uid="{00000000-0005-0000-0000-00009D020000}"/>
    <cellStyle name="Normal 10 2 4 2" xfId="1741" xr:uid="{00000000-0005-0000-0000-00009E020000}"/>
    <cellStyle name="Normal 10 2 5" xfId="1200" xr:uid="{00000000-0005-0000-0000-00009F020000}"/>
    <cellStyle name="Normal 10 3" xfId="320" xr:uid="{00000000-0005-0000-0000-0000A0020000}"/>
    <cellStyle name="Normal 10 3 2" xfId="321" xr:uid="{00000000-0005-0000-0000-0000A1020000}"/>
    <cellStyle name="Normal 10 3 2 2" xfId="1210" xr:uid="{00000000-0005-0000-0000-0000A2020000}"/>
    <cellStyle name="Normal 10 3 2 2 2" xfId="1742" xr:uid="{00000000-0005-0000-0000-0000A3020000}"/>
    <cellStyle name="Normal 10 3 2 3" xfId="1209" xr:uid="{00000000-0005-0000-0000-0000A4020000}"/>
    <cellStyle name="Normal 10 3 3" xfId="1211" xr:uid="{00000000-0005-0000-0000-0000A5020000}"/>
    <cellStyle name="Normal 10 3 3 2" xfId="1743" xr:uid="{00000000-0005-0000-0000-0000A6020000}"/>
    <cellStyle name="Normal 10 3 4" xfId="1208" xr:uid="{00000000-0005-0000-0000-0000A7020000}"/>
    <cellStyle name="Normal 10 4" xfId="322" xr:uid="{00000000-0005-0000-0000-0000A8020000}"/>
    <cellStyle name="Normal 10 4 2" xfId="1213" xr:uid="{00000000-0005-0000-0000-0000A9020000}"/>
    <cellStyle name="Normal 10 4 2 2" xfId="1744" xr:uid="{00000000-0005-0000-0000-0000AA020000}"/>
    <cellStyle name="Normal 10 4 3" xfId="1212" xr:uid="{00000000-0005-0000-0000-0000AB020000}"/>
    <cellStyle name="Normal 10 5" xfId="707" xr:uid="{00000000-0005-0000-0000-0000AC020000}"/>
    <cellStyle name="Normal 10 5 2" xfId="1745" xr:uid="{00000000-0005-0000-0000-0000AD020000}"/>
    <cellStyle name="Normal 10 6" xfId="1214" xr:uid="{00000000-0005-0000-0000-0000AE020000}"/>
    <cellStyle name="Normal 10 6 2" xfId="1137" xr:uid="{00000000-0005-0000-0000-0000AF020000}"/>
    <cellStyle name="Normal 10 6 2 2" xfId="1215" xr:uid="{00000000-0005-0000-0000-0000B0020000}"/>
    <cellStyle name="Normal 10 6 2 2 2" xfId="1746" xr:uid="{00000000-0005-0000-0000-0000B1020000}"/>
    <cellStyle name="Normal 10 6 2 2 3" xfId="2495" xr:uid="{00000000-0005-0000-0000-0000B2020000}"/>
    <cellStyle name="Normal 10 6 2 3" xfId="1216" xr:uid="{00000000-0005-0000-0000-0000B3020000}"/>
    <cellStyle name="Normal 10 6 2 3 2" xfId="1747" xr:uid="{00000000-0005-0000-0000-0000B4020000}"/>
    <cellStyle name="Normal 10 6 2 4" xfId="1748" xr:uid="{00000000-0005-0000-0000-0000B5020000}"/>
    <cellStyle name="Normal 10 6 2 5" xfId="2496" xr:uid="{00000000-0005-0000-0000-0000B6020000}"/>
    <cellStyle name="Normal 10 6 3" xfId="1749" xr:uid="{00000000-0005-0000-0000-0000B7020000}"/>
    <cellStyle name="Normal 10 7" xfId="1217" xr:uid="{00000000-0005-0000-0000-0000B8020000}"/>
    <cellStyle name="Normal 10 7 2" xfId="1218" xr:uid="{00000000-0005-0000-0000-0000B9020000}"/>
    <cellStyle name="Normal 10 7 2 2" xfId="1750" xr:uid="{00000000-0005-0000-0000-0000BA020000}"/>
    <cellStyle name="Normal 10 7 3" xfId="1751" xr:uid="{00000000-0005-0000-0000-0000BB020000}"/>
    <cellStyle name="Normal 10 8" xfId="1752" xr:uid="{00000000-0005-0000-0000-0000BC020000}"/>
    <cellStyle name="Normal 10 9" xfId="2491" xr:uid="{00000000-0005-0000-0000-0000BD020000}"/>
    <cellStyle name="Normal 100" xfId="708" xr:uid="{00000000-0005-0000-0000-0000BE020000}"/>
    <cellStyle name="Normal 101" xfId="709" xr:uid="{00000000-0005-0000-0000-0000BF020000}"/>
    <cellStyle name="Normal 101 2" xfId="1019" xr:uid="{00000000-0005-0000-0000-0000C0020000}"/>
    <cellStyle name="Normal 102" xfId="710" xr:uid="{00000000-0005-0000-0000-0000C1020000}"/>
    <cellStyle name="Normal 102 2" xfId="1020" xr:uid="{00000000-0005-0000-0000-0000C2020000}"/>
    <cellStyle name="Normal 103" xfId="711" xr:uid="{00000000-0005-0000-0000-0000C3020000}"/>
    <cellStyle name="Normal 103 2" xfId="1021" xr:uid="{00000000-0005-0000-0000-0000C4020000}"/>
    <cellStyle name="Normal 104" xfId="712" xr:uid="{00000000-0005-0000-0000-0000C5020000}"/>
    <cellStyle name="Normal 104 2" xfId="1022" xr:uid="{00000000-0005-0000-0000-0000C6020000}"/>
    <cellStyle name="Normal 105" xfId="713" xr:uid="{00000000-0005-0000-0000-0000C7020000}"/>
    <cellStyle name="Normal 106" xfId="714" xr:uid="{00000000-0005-0000-0000-0000C8020000}"/>
    <cellStyle name="Normal 107" xfId="715" xr:uid="{00000000-0005-0000-0000-0000C9020000}"/>
    <cellStyle name="Normal 107 2" xfId="1023" xr:uid="{00000000-0005-0000-0000-0000CA020000}"/>
    <cellStyle name="Normal 108" xfId="1024" xr:uid="{00000000-0005-0000-0000-0000CB020000}"/>
    <cellStyle name="Normal 109" xfId="1025" xr:uid="{00000000-0005-0000-0000-0000CC020000}"/>
    <cellStyle name="Normal 11" xfId="323" xr:uid="{00000000-0005-0000-0000-0000CD020000}"/>
    <cellStyle name="Normal 11 2" xfId="324" xr:uid="{00000000-0005-0000-0000-0000CE020000}"/>
    <cellStyle name="Normal 11 2 2" xfId="325" xr:uid="{00000000-0005-0000-0000-0000CF020000}"/>
    <cellStyle name="Normal 11 2 2 2" xfId="716" xr:uid="{00000000-0005-0000-0000-0000D0020000}"/>
    <cellStyle name="Normal 11 2 2 2 2" xfId="717" xr:uid="{00000000-0005-0000-0000-0000D1020000}"/>
    <cellStyle name="Normal 11 2 2 2 2 2" xfId="1219" xr:uid="{00000000-0005-0000-0000-0000D2020000}"/>
    <cellStyle name="Normal 11 2 2 2 2 2 2" xfId="1753" xr:uid="{00000000-0005-0000-0000-0000D3020000}"/>
    <cellStyle name="Normal 11 2 2 2 2 3" xfId="1754" xr:uid="{00000000-0005-0000-0000-0000D4020000}"/>
    <cellStyle name="Normal 11 2 2 2 3" xfId="1220" xr:uid="{00000000-0005-0000-0000-0000D5020000}"/>
    <cellStyle name="Normal 11 2 2 2 3 2" xfId="1755" xr:uid="{00000000-0005-0000-0000-0000D6020000}"/>
    <cellStyle name="Normal 11 2 2 2 4" xfId="1756" xr:uid="{00000000-0005-0000-0000-0000D7020000}"/>
    <cellStyle name="Normal 11 2 2 3" xfId="718" xr:uid="{00000000-0005-0000-0000-0000D8020000}"/>
    <cellStyle name="Normal 11 2 2 3 2" xfId="1221" xr:uid="{00000000-0005-0000-0000-0000D9020000}"/>
    <cellStyle name="Normal 11 2 2 3 2 2" xfId="1757" xr:uid="{00000000-0005-0000-0000-0000DA020000}"/>
    <cellStyle name="Normal 11 2 2 3 3" xfId="1758" xr:uid="{00000000-0005-0000-0000-0000DB020000}"/>
    <cellStyle name="Normal 11 2 2 4" xfId="1222" xr:uid="{00000000-0005-0000-0000-0000DC020000}"/>
    <cellStyle name="Normal 11 2 2 4 2" xfId="1759" xr:uid="{00000000-0005-0000-0000-0000DD020000}"/>
    <cellStyle name="Normal 11 2 2 5" xfId="1760" xr:uid="{00000000-0005-0000-0000-0000DE020000}"/>
    <cellStyle name="Normal 11 2 3" xfId="719" xr:uid="{00000000-0005-0000-0000-0000DF020000}"/>
    <cellStyle name="Normal 11 2 3 2" xfId="720" xr:uid="{00000000-0005-0000-0000-0000E0020000}"/>
    <cellStyle name="Normal 11 2 3 2 2" xfId="1223" xr:uid="{00000000-0005-0000-0000-0000E1020000}"/>
    <cellStyle name="Normal 11 2 3 2 2 2" xfId="1761" xr:uid="{00000000-0005-0000-0000-0000E2020000}"/>
    <cellStyle name="Normal 11 2 3 2 3" xfId="1762" xr:uid="{00000000-0005-0000-0000-0000E3020000}"/>
    <cellStyle name="Normal 11 2 3 3" xfId="1224" xr:uid="{00000000-0005-0000-0000-0000E4020000}"/>
    <cellStyle name="Normal 11 2 3 3 2" xfId="1763" xr:uid="{00000000-0005-0000-0000-0000E5020000}"/>
    <cellStyle name="Normal 11 2 3 4" xfId="1764" xr:uid="{00000000-0005-0000-0000-0000E6020000}"/>
    <cellStyle name="Normal 11 2 4" xfId="721" xr:uid="{00000000-0005-0000-0000-0000E7020000}"/>
    <cellStyle name="Normal 11 2 4 2" xfId="1225" xr:uid="{00000000-0005-0000-0000-0000E8020000}"/>
    <cellStyle name="Normal 11 2 4 2 2" xfId="1765" xr:uid="{00000000-0005-0000-0000-0000E9020000}"/>
    <cellStyle name="Normal 11 2 4 3" xfId="1766" xr:uid="{00000000-0005-0000-0000-0000EA020000}"/>
    <cellStyle name="Normal 11 2 5" xfId="1226" xr:uid="{00000000-0005-0000-0000-0000EB020000}"/>
    <cellStyle name="Normal 11 2 5 2" xfId="1767" xr:uid="{00000000-0005-0000-0000-0000EC020000}"/>
    <cellStyle name="Normal 11 2 6" xfId="1768" xr:uid="{00000000-0005-0000-0000-0000ED020000}"/>
    <cellStyle name="Normal 11 3" xfId="326" xr:uid="{00000000-0005-0000-0000-0000EE020000}"/>
    <cellStyle name="Normal 11 3 2" xfId="722" xr:uid="{00000000-0005-0000-0000-0000EF020000}"/>
    <cellStyle name="Normal 11 3 2 2" xfId="723" xr:uid="{00000000-0005-0000-0000-0000F0020000}"/>
    <cellStyle name="Normal 11 3 2 2 2" xfId="724" xr:uid="{00000000-0005-0000-0000-0000F1020000}"/>
    <cellStyle name="Normal 11 3 2 2 2 2" xfId="1227" xr:uid="{00000000-0005-0000-0000-0000F2020000}"/>
    <cellStyle name="Normal 11 3 2 2 2 2 2" xfId="1769" xr:uid="{00000000-0005-0000-0000-0000F3020000}"/>
    <cellStyle name="Normal 11 3 2 2 2 3" xfId="1770" xr:uid="{00000000-0005-0000-0000-0000F4020000}"/>
    <cellStyle name="Normal 11 3 2 2 3" xfId="1228" xr:uid="{00000000-0005-0000-0000-0000F5020000}"/>
    <cellStyle name="Normal 11 3 2 2 3 2" xfId="1771" xr:uid="{00000000-0005-0000-0000-0000F6020000}"/>
    <cellStyle name="Normal 11 3 2 2 4" xfId="1772" xr:uid="{00000000-0005-0000-0000-0000F7020000}"/>
    <cellStyle name="Normal 11 3 2 3" xfId="725" xr:uid="{00000000-0005-0000-0000-0000F8020000}"/>
    <cellStyle name="Normal 11 3 2 3 2" xfId="1229" xr:uid="{00000000-0005-0000-0000-0000F9020000}"/>
    <cellStyle name="Normal 11 3 2 3 2 2" xfId="1773" xr:uid="{00000000-0005-0000-0000-0000FA020000}"/>
    <cellStyle name="Normal 11 3 2 3 3" xfId="1774" xr:uid="{00000000-0005-0000-0000-0000FB020000}"/>
    <cellStyle name="Normal 11 3 2 4" xfId="1230" xr:uid="{00000000-0005-0000-0000-0000FC020000}"/>
    <cellStyle name="Normal 11 3 2 4 2" xfId="1775" xr:uid="{00000000-0005-0000-0000-0000FD020000}"/>
    <cellStyle name="Normal 11 3 2 5" xfId="1776" xr:uid="{00000000-0005-0000-0000-0000FE020000}"/>
    <cellStyle name="Normal 11 3 3" xfId="726" xr:uid="{00000000-0005-0000-0000-0000FF020000}"/>
    <cellStyle name="Normal 11 3 3 2" xfId="727" xr:uid="{00000000-0005-0000-0000-000000030000}"/>
    <cellStyle name="Normal 11 3 3 2 2" xfId="1231" xr:uid="{00000000-0005-0000-0000-000001030000}"/>
    <cellStyle name="Normal 11 3 3 2 2 2" xfId="1777" xr:uid="{00000000-0005-0000-0000-000002030000}"/>
    <cellStyle name="Normal 11 3 3 2 3" xfId="1778" xr:uid="{00000000-0005-0000-0000-000003030000}"/>
    <cellStyle name="Normal 11 3 3 3" xfId="1232" xr:uid="{00000000-0005-0000-0000-000004030000}"/>
    <cellStyle name="Normal 11 3 3 3 2" xfId="1779" xr:uid="{00000000-0005-0000-0000-000005030000}"/>
    <cellStyle name="Normal 11 3 3 4" xfId="1780" xr:uid="{00000000-0005-0000-0000-000006030000}"/>
    <cellStyle name="Normal 11 3 4" xfId="728" xr:uid="{00000000-0005-0000-0000-000007030000}"/>
    <cellStyle name="Normal 11 3 4 2" xfId="1233" xr:uid="{00000000-0005-0000-0000-000008030000}"/>
    <cellStyle name="Normal 11 3 4 2 2" xfId="1781" xr:uid="{00000000-0005-0000-0000-000009030000}"/>
    <cellStyle name="Normal 11 3 4 3" xfId="1782" xr:uid="{00000000-0005-0000-0000-00000A030000}"/>
    <cellStyle name="Normal 11 3 5" xfId="1234" xr:uid="{00000000-0005-0000-0000-00000B030000}"/>
    <cellStyle name="Normal 11 3 5 2" xfId="1783" xr:uid="{00000000-0005-0000-0000-00000C030000}"/>
    <cellStyle name="Normal 11 3 6" xfId="1784" xr:uid="{00000000-0005-0000-0000-00000D030000}"/>
    <cellStyle name="Normal 11 4" xfId="729" xr:uid="{00000000-0005-0000-0000-00000E030000}"/>
    <cellStyle name="Normal 11 4 2" xfId="730" xr:uid="{00000000-0005-0000-0000-00000F030000}"/>
    <cellStyle name="Normal 11 4 2 2" xfId="731" xr:uid="{00000000-0005-0000-0000-000010030000}"/>
    <cellStyle name="Normal 11 4 2 2 2" xfId="1235" xr:uid="{00000000-0005-0000-0000-000011030000}"/>
    <cellStyle name="Normal 11 4 2 2 2 2" xfId="1785" xr:uid="{00000000-0005-0000-0000-000012030000}"/>
    <cellStyle name="Normal 11 4 2 2 3" xfId="1786" xr:uid="{00000000-0005-0000-0000-000013030000}"/>
    <cellStyle name="Normal 11 4 2 3" xfId="1236" xr:uid="{00000000-0005-0000-0000-000014030000}"/>
    <cellStyle name="Normal 11 4 2 3 2" xfId="1787" xr:uid="{00000000-0005-0000-0000-000015030000}"/>
    <cellStyle name="Normal 11 4 2 4" xfId="1788" xr:uid="{00000000-0005-0000-0000-000016030000}"/>
    <cellStyle name="Normal 11 4 3" xfId="732" xr:uid="{00000000-0005-0000-0000-000017030000}"/>
    <cellStyle name="Normal 11 4 3 2" xfId="1237" xr:uid="{00000000-0005-0000-0000-000018030000}"/>
    <cellStyle name="Normal 11 4 3 2 2" xfId="1789" xr:uid="{00000000-0005-0000-0000-000019030000}"/>
    <cellStyle name="Normal 11 4 3 3" xfId="1790" xr:uid="{00000000-0005-0000-0000-00001A030000}"/>
    <cellStyle name="Normal 11 4 4" xfId="1238" xr:uid="{00000000-0005-0000-0000-00001B030000}"/>
    <cellStyle name="Normal 11 4 4 2" xfId="1791" xr:uid="{00000000-0005-0000-0000-00001C030000}"/>
    <cellStyle name="Normal 11 4 5" xfId="1792" xr:uid="{00000000-0005-0000-0000-00001D030000}"/>
    <cellStyle name="Normal 11 5" xfId="733" xr:uid="{00000000-0005-0000-0000-00001E030000}"/>
    <cellStyle name="Normal 11 5 2" xfId="734" xr:uid="{00000000-0005-0000-0000-00001F030000}"/>
    <cellStyle name="Normal 11 5 2 2" xfId="1239" xr:uid="{00000000-0005-0000-0000-000020030000}"/>
    <cellStyle name="Normal 11 5 2 2 2" xfId="1793" xr:uid="{00000000-0005-0000-0000-000021030000}"/>
    <cellStyle name="Normal 11 5 2 3" xfId="1794" xr:uid="{00000000-0005-0000-0000-000022030000}"/>
    <cellStyle name="Normal 11 5 3" xfId="1240" xr:uid="{00000000-0005-0000-0000-000023030000}"/>
    <cellStyle name="Normal 11 5 3 2" xfId="1795" xr:uid="{00000000-0005-0000-0000-000024030000}"/>
    <cellStyle name="Normal 11 5 4" xfId="1796" xr:uid="{00000000-0005-0000-0000-000025030000}"/>
    <cellStyle name="Normal 11 6" xfId="735" xr:uid="{00000000-0005-0000-0000-000026030000}"/>
    <cellStyle name="Normal 11 6 2" xfId="1241" xr:uid="{00000000-0005-0000-0000-000027030000}"/>
    <cellStyle name="Normal 11 6 2 2" xfId="1797" xr:uid="{00000000-0005-0000-0000-000028030000}"/>
    <cellStyle name="Normal 11 6 3" xfId="1798" xr:uid="{00000000-0005-0000-0000-000029030000}"/>
    <cellStyle name="Normal 11 7" xfId="1242" xr:uid="{00000000-0005-0000-0000-00002A030000}"/>
    <cellStyle name="Normal 11 7 2" xfId="1799" xr:uid="{00000000-0005-0000-0000-00002B030000}"/>
    <cellStyle name="Normal 11 8" xfId="1800" xr:uid="{00000000-0005-0000-0000-00002C030000}"/>
    <cellStyle name="Normal 11 9" xfId="2613" xr:uid="{00000000-0005-0000-0000-00002D030000}"/>
    <cellStyle name="Normal 110" xfId="1026" xr:uid="{00000000-0005-0000-0000-00002E030000}"/>
    <cellStyle name="Normal 111" xfId="1027" xr:uid="{00000000-0005-0000-0000-00002F030000}"/>
    <cellStyle name="Normal 112" xfId="1028" xr:uid="{00000000-0005-0000-0000-000030030000}"/>
    <cellStyle name="Normal 112 2" xfId="1069" xr:uid="{00000000-0005-0000-0000-000031030000}"/>
    <cellStyle name="Normal 113" xfId="1029" xr:uid="{00000000-0005-0000-0000-000032030000}"/>
    <cellStyle name="Normal 113 2" xfId="1073" xr:uid="{00000000-0005-0000-0000-000033030000}"/>
    <cellStyle name="Normal 114" xfId="1059" xr:uid="{00000000-0005-0000-0000-000034030000}"/>
    <cellStyle name="Normal 114 2" xfId="1071" xr:uid="{00000000-0005-0000-0000-000035030000}"/>
    <cellStyle name="Normal 114 3" xfId="1084" xr:uid="{00000000-0005-0000-0000-000036030000}"/>
    <cellStyle name="Normal 115" xfId="1064" xr:uid="{00000000-0005-0000-0000-000037030000}"/>
    <cellStyle name="Normal 115 2" xfId="1086" xr:uid="{00000000-0005-0000-0000-000038030000}"/>
    <cellStyle name="Normal 115 3" xfId="2563" xr:uid="{00000000-0005-0000-0000-000039030000}"/>
    <cellStyle name="Normal 116" xfId="1065" xr:uid="{00000000-0005-0000-0000-00003A030000}"/>
    <cellStyle name="Normal 116 2" xfId="1099" xr:uid="{00000000-0005-0000-0000-00003B030000}"/>
    <cellStyle name="Normal 117" xfId="1070" xr:uid="{00000000-0005-0000-0000-00003C030000}"/>
    <cellStyle name="Normal 117 2" xfId="1078" xr:uid="{00000000-0005-0000-0000-00003D030000}"/>
    <cellStyle name="Normal 117 3" xfId="2471" xr:uid="{00000000-0005-0000-0000-00003E030000}"/>
    <cellStyle name="Normal 118" xfId="1072" xr:uid="{00000000-0005-0000-0000-00003F030000}"/>
    <cellStyle name="Normal 118 2" xfId="2467" xr:uid="{00000000-0005-0000-0000-000040030000}"/>
    <cellStyle name="Normal 119" xfId="1074" xr:uid="{00000000-0005-0000-0000-000041030000}"/>
    <cellStyle name="Normal 119 2" xfId="2472" xr:uid="{00000000-0005-0000-0000-000042030000}"/>
    <cellStyle name="Normal 12" xfId="327" xr:uid="{00000000-0005-0000-0000-000043030000}"/>
    <cellStyle name="Normal 12 2" xfId="328" xr:uid="{00000000-0005-0000-0000-000044030000}"/>
    <cellStyle name="Normal 12 2 2" xfId="329" xr:uid="{00000000-0005-0000-0000-000045030000}"/>
    <cellStyle name="Normal 12 2 2 2" xfId="736" xr:uid="{00000000-0005-0000-0000-000046030000}"/>
    <cellStyle name="Normal 12 2 2 2 2" xfId="1243" xr:uid="{00000000-0005-0000-0000-000047030000}"/>
    <cellStyle name="Normal 12 2 2 2 2 2" xfId="1801" xr:uid="{00000000-0005-0000-0000-000048030000}"/>
    <cellStyle name="Normal 12 2 2 2 3" xfId="1802" xr:uid="{00000000-0005-0000-0000-000049030000}"/>
    <cellStyle name="Normal 12 2 2 3" xfId="1244" xr:uid="{00000000-0005-0000-0000-00004A030000}"/>
    <cellStyle name="Normal 12 2 2 3 2" xfId="1803" xr:uid="{00000000-0005-0000-0000-00004B030000}"/>
    <cellStyle name="Normal 12 2 2 4" xfId="1804" xr:uid="{00000000-0005-0000-0000-00004C030000}"/>
    <cellStyle name="Normal 12 2 3" xfId="737" xr:uid="{00000000-0005-0000-0000-00004D030000}"/>
    <cellStyle name="Normal 12 2 3 2" xfId="1245" xr:uid="{00000000-0005-0000-0000-00004E030000}"/>
    <cellStyle name="Normal 12 2 3 2 2" xfId="1805" xr:uid="{00000000-0005-0000-0000-00004F030000}"/>
    <cellStyle name="Normal 12 2 3 3" xfId="1806" xr:uid="{00000000-0005-0000-0000-000050030000}"/>
    <cellStyle name="Normal 12 2 4" xfId="1246" xr:uid="{00000000-0005-0000-0000-000051030000}"/>
    <cellStyle name="Normal 12 2 4 2" xfId="1807" xr:uid="{00000000-0005-0000-0000-000052030000}"/>
    <cellStyle name="Normal 12 2 5" xfId="1808" xr:uid="{00000000-0005-0000-0000-000053030000}"/>
    <cellStyle name="Normal 12 3" xfId="330" xr:uid="{00000000-0005-0000-0000-000054030000}"/>
    <cellStyle name="Normal 12 3 2" xfId="738" xr:uid="{00000000-0005-0000-0000-000055030000}"/>
    <cellStyle name="Normal 12 3 2 2" xfId="1247" xr:uid="{00000000-0005-0000-0000-000056030000}"/>
    <cellStyle name="Normal 12 3 2 2 2" xfId="1809" xr:uid="{00000000-0005-0000-0000-000057030000}"/>
    <cellStyle name="Normal 12 3 2 3" xfId="1810" xr:uid="{00000000-0005-0000-0000-000058030000}"/>
    <cellStyle name="Normal 12 3 3" xfId="1248" xr:uid="{00000000-0005-0000-0000-000059030000}"/>
    <cellStyle name="Normal 12 3 3 2" xfId="1811" xr:uid="{00000000-0005-0000-0000-00005A030000}"/>
    <cellStyle name="Normal 12 3 4" xfId="1812" xr:uid="{00000000-0005-0000-0000-00005B030000}"/>
    <cellStyle name="Normal 12 4" xfId="739" xr:uid="{00000000-0005-0000-0000-00005C030000}"/>
    <cellStyle name="Normal 12 4 2" xfId="1249" xr:uid="{00000000-0005-0000-0000-00005D030000}"/>
    <cellStyle name="Normal 12 4 2 2" xfId="1813" xr:uid="{00000000-0005-0000-0000-00005E030000}"/>
    <cellStyle name="Normal 12 4 3" xfId="1814" xr:uid="{00000000-0005-0000-0000-00005F030000}"/>
    <cellStyle name="Normal 12 5" xfId="1250" xr:uid="{00000000-0005-0000-0000-000060030000}"/>
    <cellStyle name="Normal 12 5 2" xfId="1815" xr:uid="{00000000-0005-0000-0000-000061030000}"/>
    <cellStyle name="Normal 12 6" xfId="1816" xr:uid="{00000000-0005-0000-0000-000062030000}"/>
    <cellStyle name="Normal 120" xfId="1075" xr:uid="{00000000-0005-0000-0000-000063030000}"/>
    <cellStyle name="Normal 120 2" xfId="2475" xr:uid="{00000000-0005-0000-0000-000064030000}"/>
    <cellStyle name="Normal 121" xfId="1081" xr:uid="{00000000-0005-0000-0000-000065030000}"/>
    <cellStyle name="Normal 121 2" xfId="2480" xr:uid="{00000000-0005-0000-0000-000066030000}"/>
    <cellStyle name="Normal 122" xfId="1088" xr:uid="{00000000-0005-0000-0000-000067030000}"/>
    <cellStyle name="Normal 123" xfId="1091" xr:uid="{00000000-0005-0000-0000-000068030000}"/>
    <cellStyle name="Normal 123 2" xfId="2466" xr:uid="{00000000-0005-0000-0000-000069030000}"/>
    <cellStyle name="Normal 124" xfId="1092" xr:uid="{00000000-0005-0000-0000-00006A030000}"/>
    <cellStyle name="Normal 125" xfId="1093" xr:uid="{00000000-0005-0000-0000-00006B030000}"/>
    <cellStyle name="Normal 125 2" xfId="2483" xr:uid="{00000000-0005-0000-0000-00006C030000}"/>
    <cellStyle name="Normal 126" xfId="1094" xr:uid="{00000000-0005-0000-0000-00006D030000}"/>
    <cellStyle name="Normal 126 2" xfId="2487" xr:uid="{00000000-0005-0000-0000-00006E030000}"/>
    <cellStyle name="Normal 127" xfId="1095" xr:uid="{00000000-0005-0000-0000-00006F030000}"/>
    <cellStyle name="Normal 127 2" xfId="2554" xr:uid="{00000000-0005-0000-0000-000070030000}"/>
    <cellStyle name="Normal 128" xfId="1098" xr:uid="{00000000-0005-0000-0000-000071030000}"/>
    <cellStyle name="Normal 128 2" xfId="2555" xr:uid="{00000000-0005-0000-0000-000072030000}"/>
    <cellStyle name="Normal 129" xfId="1102" xr:uid="{00000000-0005-0000-0000-000073030000}"/>
    <cellStyle name="Normal 129 2" xfId="2557" xr:uid="{00000000-0005-0000-0000-000074030000}"/>
    <cellStyle name="Normal 13" xfId="331" xr:uid="{00000000-0005-0000-0000-000075030000}"/>
    <cellStyle name="Normal 13 10" xfId="1251" xr:uid="{00000000-0005-0000-0000-000076030000}"/>
    <cellStyle name="Normal 13 10 2" xfId="1817" xr:uid="{00000000-0005-0000-0000-000077030000}"/>
    <cellStyle name="Normal 13 11" xfId="1252" xr:uid="{00000000-0005-0000-0000-000078030000}"/>
    <cellStyle name="Normal 13 11 2" xfId="1818" xr:uid="{00000000-0005-0000-0000-000079030000}"/>
    <cellStyle name="Normal 13 12" xfId="1253" xr:uid="{00000000-0005-0000-0000-00007A030000}"/>
    <cellStyle name="Normal 13 12 2" xfId="1819" xr:uid="{00000000-0005-0000-0000-00007B030000}"/>
    <cellStyle name="Normal 13 13" xfId="1254" xr:uid="{00000000-0005-0000-0000-00007C030000}"/>
    <cellStyle name="Normal 13 13 2" xfId="1820" xr:uid="{00000000-0005-0000-0000-00007D030000}"/>
    <cellStyle name="Normal 13 14" xfId="1255" xr:uid="{00000000-0005-0000-0000-00007E030000}"/>
    <cellStyle name="Normal 13 14 2" xfId="1821" xr:uid="{00000000-0005-0000-0000-00007F030000}"/>
    <cellStyle name="Normal 13 15" xfId="1256" xr:uid="{00000000-0005-0000-0000-000080030000}"/>
    <cellStyle name="Normal 13 15 2" xfId="1822" xr:uid="{00000000-0005-0000-0000-000081030000}"/>
    <cellStyle name="Normal 13 16" xfId="1257" xr:uid="{00000000-0005-0000-0000-000082030000}"/>
    <cellStyle name="Normal 13 16 2" xfId="1823" xr:uid="{00000000-0005-0000-0000-000083030000}"/>
    <cellStyle name="Normal 13 2" xfId="332" xr:uid="{00000000-0005-0000-0000-000084030000}"/>
    <cellStyle name="Normal 13 2 2" xfId="333" xr:uid="{00000000-0005-0000-0000-000085030000}"/>
    <cellStyle name="Normal 13 2 2 2" xfId="740" xr:uid="{00000000-0005-0000-0000-000086030000}"/>
    <cellStyle name="Normal 13 2 2 2 2" xfId="1258" xr:uid="{00000000-0005-0000-0000-000087030000}"/>
    <cellStyle name="Normal 13 2 2 2 2 2" xfId="1824" xr:uid="{00000000-0005-0000-0000-000088030000}"/>
    <cellStyle name="Normal 13 2 2 2 3" xfId="1825" xr:uid="{00000000-0005-0000-0000-000089030000}"/>
    <cellStyle name="Normal 13 2 2 3" xfId="1259" xr:uid="{00000000-0005-0000-0000-00008A030000}"/>
    <cellStyle name="Normal 13 2 2 3 2" xfId="1826" xr:uid="{00000000-0005-0000-0000-00008B030000}"/>
    <cellStyle name="Normal 13 2 2 4" xfId="1827" xr:uid="{00000000-0005-0000-0000-00008C030000}"/>
    <cellStyle name="Normal 13 2 3" xfId="741" xr:uid="{00000000-0005-0000-0000-00008D030000}"/>
    <cellStyle name="Normal 13 2 3 2" xfId="1260" xr:uid="{00000000-0005-0000-0000-00008E030000}"/>
    <cellStyle name="Normal 13 2 3 2 2" xfId="1828" xr:uid="{00000000-0005-0000-0000-00008F030000}"/>
    <cellStyle name="Normal 13 2 3 3" xfId="1829" xr:uid="{00000000-0005-0000-0000-000090030000}"/>
    <cellStyle name="Normal 13 2 4" xfId="742" xr:uid="{00000000-0005-0000-0000-000091030000}"/>
    <cellStyle name="Normal 13 2 4 2" xfId="1139" xr:uid="{00000000-0005-0000-0000-000092030000}"/>
    <cellStyle name="Normal 13 2 4 2 2" xfId="1261" xr:uid="{00000000-0005-0000-0000-000093030000}"/>
    <cellStyle name="Normal 13 2 4 2 2 2" xfId="1830" xr:uid="{00000000-0005-0000-0000-000094030000}"/>
    <cellStyle name="Normal 13 2 4 2 3" xfId="1262" xr:uid="{00000000-0005-0000-0000-000095030000}"/>
    <cellStyle name="Normal 13 2 4 2 3 2" xfId="1831" xr:uid="{00000000-0005-0000-0000-000096030000}"/>
    <cellStyle name="Normal 13 2 4 2 4" xfId="1832" xr:uid="{00000000-0005-0000-0000-000097030000}"/>
    <cellStyle name="Normal 13 2 4 3" xfId="1263" xr:uid="{00000000-0005-0000-0000-000098030000}"/>
    <cellStyle name="Normal 13 2 5" xfId="1264" xr:uid="{00000000-0005-0000-0000-000099030000}"/>
    <cellStyle name="Normal 13 2 5 2" xfId="1265" xr:uid="{00000000-0005-0000-0000-00009A030000}"/>
    <cellStyle name="Normal 13 2 5 3" xfId="1833" xr:uid="{00000000-0005-0000-0000-00009B030000}"/>
    <cellStyle name="Normal 13 3" xfId="334" xr:uid="{00000000-0005-0000-0000-00009C030000}"/>
    <cellStyle name="Normal 13 3 2" xfId="743" xr:uid="{00000000-0005-0000-0000-00009D030000}"/>
    <cellStyle name="Normal 13 3 2 2" xfId="1266" xr:uid="{00000000-0005-0000-0000-00009E030000}"/>
    <cellStyle name="Normal 13 3 2 2 2" xfId="1834" xr:uid="{00000000-0005-0000-0000-00009F030000}"/>
    <cellStyle name="Normal 13 3 2 3" xfId="1835" xr:uid="{00000000-0005-0000-0000-0000A0030000}"/>
    <cellStyle name="Normal 13 3 3" xfId="1267" xr:uid="{00000000-0005-0000-0000-0000A1030000}"/>
    <cellStyle name="Normal 13 3 3 2" xfId="1836" xr:uid="{00000000-0005-0000-0000-0000A2030000}"/>
    <cellStyle name="Normal 13 3 4" xfId="1837" xr:uid="{00000000-0005-0000-0000-0000A3030000}"/>
    <cellStyle name="Normal 13 4" xfId="744" xr:uid="{00000000-0005-0000-0000-0000A4030000}"/>
    <cellStyle name="Normal 13 4 2" xfId="1268" xr:uid="{00000000-0005-0000-0000-0000A5030000}"/>
    <cellStyle name="Normal 13 4 2 2" xfId="1838" xr:uid="{00000000-0005-0000-0000-0000A6030000}"/>
    <cellStyle name="Normal 13 4 3" xfId="1839" xr:uid="{00000000-0005-0000-0000-0000A7030000}"/>
    <cellStyle name="Normal 13 5" xfId="745" xr:uid="{00000000-0005-0000-0000-0000A8030000}"/>
    <cellStyle name="Normal 13 5 2" xfId="1840" xr:uid="{00000000-0005-0000-0000-0000A9030000}"/>
    <cellStyle name="Normal 13 6" xfId="746" xr:uid="{00000000-0005-0000-0000-0000AA030000}"/>
    <cellStyle name="Normal 13 6 2" xfId="1841" xr:uid="{00000000-0005-0000-0000-0000AB030000}"/>
    <cellStyle name="Normal 13 7" xfId="747" xr:uid="{00000000-0005-0000-0000-0000AC030000}"/>
    <cellStyle name="Normal 13 7 2" xfId="1842" xr:uid="{00000000-0005-0000-0000-0000AD030000}"/>
    <cellStyle name="Normal 13 8" xfId="748" xr:uid="{00000000-0005-0000-0000-0000AE030000}"/>
    <cellStyle name="Normal 13 8 2" xfId="1843" xr:uid="{00000000-0005-0000-0000-0000AF030000}"/>
    <cellStyle name="Normal 13 9" xfId="1269" xr:uid="{00000000-0005-0000-0000-0000B0030000}"/>
    <cellStyle name="Normal 13 9 2" xfId="1844" xr:uid="{00000000-0005-0000-0000-0000B1030000}"/>
    <cellStyle name="Normal 130" xfId="1135" xr:uid="{00000000-0005-0000-0000-0000B2030000}"/>
    <cellStyle name="Normal 130 2" xfId="2558" xr:uid="{00000000-0005-0000-0000-0000B3030000}"/>
    <cellStyle name="Normal 131" xfId="2465" xr:uid="{00000000-0005-0000-0000-0000B4030000}"/>
    <cellStyle name="Normal 132" xfId="2468" xr:uid="{00000000-0005-0000-0000-0000B5030000}"/>
    <cellStyle name="Normal 132 2" xfId="2470" xr:uid="{00000000-0005-0000-0000-0000B6030000}"/>
    <cellStyle name="Normal 133" xfId="2543" xr:uid="{00000000-0005-0000-0000-0000B7030000}"/>
    <cellStyle name="Normal 133 2" xfId="2561" xr:uid="{00000000-0005-0000-0000-0000B8030000}"/>
    <cellStyle name="Normal 134" xfId="2544" xr:uid="{00000000-0005-0000-0000-0000B9030000}"/>
    <cellStyle name="Normal 134 2" xfId="2562" xr:uid="{00000000-0005-0000-0000-0000BA030000}"/>
    <cellStyle name="Normal 135" xfId="2547" xr:uid="{00000000-0005-0000-0000-0000BB030000}"/>
    <cellStyle name="Normal 135 2" xfId="2564" xr:uid="{00000000-0005-0000-0000-0000BC030000}"/>
    <cellStyle name="Normal 135 2 2" xfId="2581" xr:uid="{00000000-0005-0000-0000-0000BD030000}"/>
    <cellStyle name="Normal 136" xfId="2549" xr:uid="{00000000-0005-0000-0000-0000BE030000}"/>
    <cellStyle name="Normal 136 2" xfId="2567" xr:uid="{00000000-0005-0000-0000-0000BF030000}"/>
    <cellStyle name="Normal 137" xfId="2569" xr:uid="{00000000-0005-0000-0000-0000C0030000}"/>
    <cellStyle name="Normal 138" xfId="2570" xr:uid="{00000000-0005-0000-0000-0000C1030000}"/>
    <cellStyle name="Normal 139" xfId="2575" xr:uid="{00000000-0005-0000-0000-0000C2030000}"/>
    <cellStyle name="Normal 14" xfId="335" xr:uid="{00000000-0005-0000-0000-0000C3030000}"/>
    <cellStyle name="Normal 14 2" xfId="336" xr:uid="{00000000-0005-0000-0000-0000C4030000}"/>
    <cellStyle name="Normal 14 2 2" xfId="337" xr:uid="{00000000-0005-0000-0000-0000C5030000}"/>
    <cellStyle name="Normal 14 2 2 2" xfId="749" xr:uid="{00000000-0005-0000-0000-0000C6030000}"/>
    <cellStyle name="Normal 14 2 2 2 2" xfId="1270" xr:uid="{00000000-0005-0000-0000-0000C7030000}"/>
    <cellStyle name="Normal 14 2 2 2 2 2" xfId="1845" xr:uid="{00000000-0005-0000-0000-0000C8030000}"/>
    <cellStyle name="Normal 14 2 2 2 3" xfId="1846" xr:uid="{00000000-0005-0000-0000-0000C9030000}"/>
    <cellStyle name="Normal 14 2 2 3" xfId="1271" xr:uid="{00000000-0005-0000-0000-0000CA030000}"/>
    <cellStyle name="Normal 14 2 2 3 2" xfId="1847" xr:uid="{00000000-0005-0000-0000-0000CB030000}"/>
    <cellStyle name="Normal 14 2 2 4" xfId="1848" xr:uid="{00000000-0005-0000-0000-0000CC030000}"/>
    <cellStyle name="Normal 14 2 3" xfId="750" xr:uid="{00000000-0005-0000-0000-0000CD030000}"/>
    <cellStyle name="Normal 14 2 3 2" xfId="1272" xr:uid="{00000000-0005-0000-0000-0000CE030000}"/>
    <cellStyle name="Normal 14 2 3 2 2" xfId="1849" xr:uid="{00000000-0005-0000-0000-0000CF030000}"/>
    <cellStyle name="Normal 14 2 3 3" xfId="1850" xr:uid="{00000000-0005-0000-0000-0000D0030000}"/>
    <cellStyle name="Normal 14 2 4" xfId="1273" xr:uid="{00000000-0005-0000-0000-0000D1030000}"/>
    <cellStyle name="Normal 14 2 4 2" xfId="1851" xr:uid="{00000000-0005-0000-0000-0000D2030000}"/>
    <cellStyle name="Normal 14 2 5" xfId="1852" xr:uid="{00000000-0005-0000-0000-0000D3030000}"/>
    <cellStyle name="Normal 14 3" xfId="338" xr:uid="{00000000-0005-0000-0000-0000D4030000}"/>
    <cellStyle name="Normal 14 3 2" xfId="751" xr:uid="{00000000-0005-0000-0000-0000D5030000}"/>
    <cellStyle name="Normal 14 3 2 2" xfId="1274" xr:uid="{00000000-0005-0000-0000-0000D6030000}"/>
    <cellStyle name="Normal 14 3 2 2 2" xfId="1853" xr:uid="{00000000-0005-0000-0000-0000D7030000}"/>
    <cellStyle name="Normal 14 3 2 3" xfId="1854" xr:uid="{00000000-0005-0000-0000-0000D8030000}"/>
    <cellStyle name="Normal 14 3 3" xfId="1275" xr:uid="{00000000-0005-0000-0000-0000D9030000}"/>
    <cellStyle name="Normal 14 3 3 2" xfId="1855" xr:uid="{00000000-0005-0000-0000-0000DA030000}"/>
    <cellStyle name="Normal 14 3 4" xfId="1856" xr:uid="{00000000-0005-0000-0000-0000DB030000}"/>
    <cellStyle name="Normal 14 4" xfId="752" xr:uid="{00000000-0005-0000-0000-0000DC030000}"/>
    <cellStyle name="Normal 14 4 2" xfId="1276" xr:uid="{00000000-0005-0000-0000-0000DD030000}"/>
    <cellStyle name="Normal 14 4 2 2" xfId="1857" xr:uid="{00000000-0005-0000-0000-0000DE030000}"/>
    <cellStyle name="Normal 14 4 3" xfId="1858" xr:uid="{00000000-0005-0000-0000-0000DF030000}"/>
    <cellStyle name="Normal 14 5" xfId="1277" xr:uid="{00000000-0005-0000-0000-0000E0030000}"/>
    <cellStyle name="Normal 14 5 2" xfId="1859" xr:uid="{00000000-0005-0000-0000-0000E1030000}"/>
    <cellStyle name="Normal 14 6" xfId="1860" xr:uid="{00000000-0005-0000-0000-0000E2030000}"/>
    <cellStyle name="Normal 140" xfId="2580" xr:uid="{00000000-0005-0000-0000-0000E3030000}"/>
    <cellStyle name="Normal 141" xfId="2553" xr:uid="{00000000-0005-0000-0000-0000E4030000}"/>
    <cellStyle name="Normal 141 2" xfId="2582" xr:uid="{00000000-0005-0000-0000-0000E5030000}"/>
    <cellStyle name="Normal 142" xfId="2584" xr:uid="{00000000-0005-0000-0000-0000E6030000}"/>
    <cellStyle name="Normal 143" xfId="2585" xr:uid="{00000000-0005-0000-0000-0000E7030000}"/>
    <cellStyle name="Normal 144" xfId="2589" xr:uid="{00000000-0005-0000-0000-0000E8030000}"/>
    <cellStyle name="Normal 145" xfId="2591" xr:uid="{00000000-0005-0000-0000-0000E9030000}"/>
    <cellStyle name="Normal 146" xfId="2592" xr:uid="{00000000-0005-0000-0000-0000EA030000}"/>
    <cellStyle name="Normal 147" xfId="2606" xr:uid="{00000000-0005-0000-0000-0000EB030000}"/>
    <cellStyle name="Normal 148" xfId="2607" xr:uid="{00000000-0005-0000-0000-0000EC030000}"/>
    <cellStyle name="Normal 149" xfId="2608" xr:uid="{00000000-0005-0000-0000-0000ED030000}"/>
    <cellStyle name="Normal 15" xfId="339" xr:uid="{00000000-0005-0000-0000-0000EE030000}"/>
    <cellStyle name="Normal 15 2" xfId="340" xr:uid="{00000000-0005-0000-0000-0000EF030000}"/>
    <cellStyle name="Normal 15 2 2" xfId="341" xr:uid="{00000000-0005-0000-0000-0000F0030000}"/>
    <cellStyle name="Normal 15 2 2 2" xfId="753" xr:uid="{00000000-0005-0000-0000-0000F1030000}"/>
    <cellStyle name="Normal 15 2 2 2 2" xfId="1278" xr:uid="{00000000-0005-0000-0000-0000F2030000}"/>
    <cellStyle name="Normal 15 2 2 2 2 2" xfId="1861" xr:uid="{00000000-0005-0000-0000-0000F3030000}"/>
    <cellStyle name="Normal 15 2 2 2 3" xfId="1862" xr:uid="{00000000-0005-0000-0000-0000F4030000}"/>
    <cellStyle name="Normal 15 2 2 3" xfId="1279" xr:uid="{00000000-0005-0000-0000-0000F5030000}"/>
    <cellStyle name="Normal 15 2 2 3 2" xfId="1863" xr:uid="{00000000-0005-0000-0000-0000F6030000}"/>
    <cellStyle name="Normal 15 2 2 4" xfId="1864" xr:uid="{00000000-0005-0000-0000-0000F7030000}"/>
    <cellStyle name="Normal 15 2 3" xfId="754" xr:uid="{00000000-0005-0000-0000-0000F8030000}"/>
    <cellStyle name="Normal 15 2 3 2" xfId="1280" xr:uid="{00000000-0005-0000-0000-0000F9030000}"/>
    <cellStyle name="Normal 15 2 3 2 2" xfId="1865" xr:uid="{00000000-0005-0000-0000-0000FA030000}"/>
    <cellStyle name="Normal 15 2 3 3" xfId="1866" xr:uid="{00000000-0005-0000-0000-0000FB030000}"/>
    <cellStyle name="Normal 15 2 4" xfId="1281" xr:uid="{00000000-0005-0000-0000-0000FC030000}"/>
    <cellStyle name="Normal 15 2 4 2" xfId="1867" xr:uid="{00000000-0005-0000-0000-0000FD030000}"/>
    <cellStyle name="Normal 15 2 5" xfId="1868" xr:uid="{00000000-0005-0000-0000-0000FE030000}"/>
    <cellStyle name="Normal 15 3" xfId="342" xr:uid="{00000000-0005-0000-0000-0000FF030000}"/>
    <cellStyle name="Normal 15 3 2" xfId="755" xr:uid="{00000000-0005-0000-0000-000000040000}"/>
    <cellStyle name="Normal 15 3 2 2" xfId="1282" xr:uid="{00000000-0005-0000-0000-000001040000}"/>
    <cellStyle name="Normal 15 3 2 2 2" xfId="1869" xr:uid="{00000000-0005-0000-0000-000002040000}"/>
    <cellStyle name="Normal 15 3 2 3" xfId="1870" xr:uid="{00000000-0005-0000-0000-000003040000}"/>
    <cellStyle name="Normal 15 3 3" xfId="1283" xr:uid="{00000000-0005-0000-0000-000004040000}"/>
    <cellStyle name="Normal 15 3 3 2" xfId="1871" xr:uid="{00000000-0005-0000-0000-000005040000}"/>
    <cellStyle name="Normal 15 3 4" xfId="1872" xr:uid="{00000000-0005-0000-0000-000006040000}"/>
    <cellStyle name="Normal 15 4" xfId="756" xr:uid="{00000000-0005-0000-0000-000007040000}"/>
    <cellStyle name="Normal 15 4 2" xfId="1284" xr:uid="{00000000-0005-0000-0000-000008040000}"/>
    <cellStyle name="Normal 15 4 2 2" xfId="1873" xr:uid="{00000000-0005-0000-0000-000009040000}"/>
    <cellStyle name="Normal 15 4 3" xfId="1874" xr:uid="{00000000-0005-0000-0000-00000A040000}"/>
    <cellStyle name="Normal 15 5" xfId="1285" xr:uid="{00000000-0005-0000-0000-00000B040000}"/>
    <cellStyle name="Normal 15 5 2" xfId="1875" xr:uid="{00000000-0005-0000-0000-00000C040000}"/>
    <cellStyle name="Normal 15 6" xfId="1876" xr:uid="{00000000-0005-0000-0000-00000D040000}"/>
    <cellStyle name="Normal 150" xfId="2609" xr:uid="{00000000-0005-0000-0000-00000E040000}"/>
    <cellStyle name="Normal 151" xfId="2610" xr:uid="{00000000-0005-0000-0000-00000F040000}"/>
    <cellStyle name="Normal 16" xfId="343" xr:uid="{00000000-0005-0000-0000-000010040000}"/>
    <cellStyle name="Normal 16 2" xfId="344" xr:uid="{00000000-0005-0000-0000-000011040000}"/>
    <cellStyle name="Normal 16 2 2" xfId="345" xr:uid="{00000000-0005-0000-0000-000012040000}"/>
    <cellStyle name="Normal 16 2 2 2" xfId="757" xr:uid="{00000000-0005-0000-0000-000013040000}"/>
    <cellStyle name="Normal 16 2 2 2 2" xfId="1286" xr:uid="{00000000-0005-0000-0000-000014040000}"/>
    <cellStyle name="Normal 16 2 2 2 2 2" xfId="1877" xr:uid="{00000000-0005-0000-0000-000015040000}"/>
    <cellStyle name="Normal 16 2 2 2 3" xfId="1878" xr:uid="{00000000-0005-0000-0000-000016040000}"/>
    <cellStyle name="Normal 16 2 2 3" xfId="1287" xr:uid="{00000000-0005-0000-0000-000017040000}"/>
    <cellStyle name="Normal 16 2 2 3 2" xfId="1879" xr:uid="{00000000-0005-0000-0000-000018040000}"/>
    <cellStyle name="Normal 16 2 2 4" xfId="1880" xr:uid="{00000000-0005-0000-0000-000019040000}"/>
    <cellStyle name="Normal 16 2 3" xfId="758" xr:uid="{00000000-0005-0000-0000-00001A040000}"/>
    <cellStyle name="Normal 16 2 3 2" xfId="1288" xr:uid="{00000000-0005-0000-0000-00001B040000}"/>
    <cellStyle name="Normal 16 2 3 2 2" xfId="1881" xr:uid="{00000000-0005-0000-0000-00001C040000}"/>
    <cellStyle name="Normal 16 2 3 3" xfId="1882" xr:uid="{00000000-0005-0000-0000-00001D040000}"/>
    <cellStyle name="Normal 16 2 4" xfId="1289" xr:uid="{00000000-0005-0000-0000-00001E040000}"/>
    <cellStyle name="Normal 16 2 4 2" xfId="1883" xr:uid="{00000000-0005-0000-0000-00001F040000}"/>
    <cellStyle name="Normal 16 2 5" xfId="1884" xr:uid="{00000000-0005-0000-0000-000020040000}"/>
    <cellStyle name="Normal 16 3" xfId="346" xr:uid="{00000000-0005-0000-0000-000021040000}"/>
    <cellStyle name="Normal 16 3 2" xfId="759" xr:uid="{00000000-0005-0000-0000-000022040000}"/>
    <cellStyle name="Normal 16 3 2 2" xfId="1290" xr:uid="{00000000-0005-0000-0000-000023040000}"/>
    <cellStyle name="Normal 16 3 2 2 2" xfId="1885" xr:uid="{00000000-0005-0000-0000-000024040000}"/>
    <cellStyle name="Normal 16 3 2 3" xfId="1886" xr:uid="{00000000-0005-0000-0000-000025040000}"/>
    <cellStyle name="Normal 16 3 3" xfId="1291" xr:uid="{00000000-0005-0000-0000-000026040000}"/>
    <cellStyle name="Normal 16 3 3 2" xfId="1887" xr:uid="{00000000-0005-0000-0000-000027040000}"/>
    <cellStyle name="Normal 16 3 4" xfId="1888" xr:uid="{00000000-0005-0000-0000-000028040000}"/>
    <cellStyle name="Normal 16 4" xfId="760" xr:uid="{00000000-0005-0000-0000-000029040000}"/>
    <cellStyle name="Normal 16 4 2" xfId="1292" xr:uid="{00000000-0005-0000-0000-00002A040000}"/>
    <cellStyle name="Normal 16 4 2 2" xfId="1889" xr:uid="{00000000-0005-0000-0000-00002B040000}"/>
    <cellStyle name="Normal 16 4 3" xfId="1890" xr:uid="{00000000-0005-0000-0000-00002C040000}"/>
    <cellStyle name="Normal 16 5" xfId="1293" xr:uid="{00000000-0005-0000-0000-00002D040000}"/>
    <cellStyle name="Normal 16 5 2" xfId="1891" xr:uid="{00000000-0005-0000-0000-00002E040000}"/>
    <cellStyle name="Normal 16 6" xfId="1892" xr:uid="{00000000-0005-0000-0000-00002F040000}"/>
    <cellStyle name="Normal 17" xfId="347" xr:uid="{00000000-0005-0000-0000-000030040000}"/>
    <cellStyle name="Normal 17 2" xfId="348" xr:uid="{00000000-0005-0000-0000-000031040000}"/>
    <cellStyle name="Normal 17 2 2" xfId="349" xr:uid="{00000000-0005-0000-0000-000032040000}"/>
    <cellStyle name="Normal 17 3" xfId="350" xr:uid="{00000000-0005-0000-0000-000033040000}"/>
    <cellStyle name="Normal 17 3 2" xfId="1294" xr:uid="{00000000-0005-0000-0000-000034040000}"/>
    <cellStyle name="Normal 18" xfId="351" xr:uid="{00000000-0005-0000-0000-000035040000}"/>
    <cellStyle name="Normal 18 2" xfId="352" xr:uid="{00000000-0005-0000-0000-000036040000}"/>
    <cellStyle name="Normal 18 2 2" xfId="353" xr:uid="{00000000-0005-0000-0000-000037040000}"/>
    <cellStyle name="Normal 18 2 2 2" xfId="1297" xr:uid="{00000000-0005-0000-0000-000038040000}"/>
    <cellStyle name="Normal 18 2 2 2 2" xfId="1893" xr:uid="{00000000-0005-0000-0000-000039040000}"/>
    <cellStyle name="Normal 18 2 2 3" xfId="1296" xr:uid="{00000000-0005-0000-0000-00003A040000}"/>
    <cellStyle name="Normal 18 2 3" xfId="1298" xr:uid="{00000000-0005-0000-0000-00003B040000}"/>
    <cellStyle name="Normal 18 2 3 2" xfId="1894" xr:uid="{00000000-0005-0000-0000-00003C040000}"/>
    <cellStyle name="Normal 18 2 4" xfId="1295" xr:uid="{00000000-0005-0000-0000-00003D040000}"/>
    <cellStyle name="Normal 18 3" xfId="354" xr:uid="{00000000-0005-0000-0000-00003E040000}"/>
    <cellStyle name="Normal 18 3 2" xfId="1300" xr:uid="{00000000-0005-0000-0000-00003F040000}"/>
    <cellStyle name="Normal 18 3 2 2" xfId="1895" xr:uid="{00000000-0005-0000-0000-000040040000}"/>
    <cellStyle name="Normal 18 3 3" xfId="1299" xr:uid="{00000000-0005-0000-0000-000041040000}"/>
    <cellStyle name="Normal 18 4" xfId="761" xr:uid="{00000000-0005-0000-0000-000042040000}"/>
    <cellStyle name="Normal 18 4 2" xfId="1896" xr:uid="{00000000-0005-0000-0000-000043040000}"/>
    <cellStyle name="Normal 18 5" xfId="762" xr:uid="{00000000-0005-0000-0000-000044040000}"/>
    <cellStyle name="Normal 18 5 2" xfId="1301" xr:uid="{00000000-0005-0000-0000-000045040000}"/>
    <cellStyle name="Normal 18 5 2 2" xfId="1897" xr:uid="{00000000-0005-0000-0000-000046040000}"/>
    <cellStyle name="Normal 18 5 3" xfId="1898" xr:uid="{00000000-0005-0000-0000-000047040000}"/>
    <cellStyle name="Normal 18 6" xfId="1302" xr:uid="{00000000-0005-0000-0000-000048040000}"/>
    <cellStyle name="Normal 18 6 2" xfId="1899" xr:uid="{00000000-0005-0000-0000-000049040000}"/>
    <cellStyle name="Normal 18 7" xfId="1303" xr:uid="{00000000-0005-0000-0000-00004A040000}"/>
    <cellStyle name="Normal 18 7 2" xfId="1900" xr:uid="{00000000-0005-0000-0000-00004B040000}"/>
    <cellStyle name="Normal 18 8" xfId="1304" xr:uid="{00000000-0005-0000-0000-00004C040000}"/>
    <cellStyle name="Normal 18 8 2" xfId="1901" xr:uid="{00000000-0005-0000-0000-00004D040000}"/>
    <cellStyle name="Normal 18 9" xfId="1902" xr:uid="{00000000-0005-0000-0000-00004E040000}"/>
    <cellStyle name="Normal 19" xfId="355" xr:uid="{00000000-0005-0000-0000-00004F040000}"/>
    <cellStyle name="Normal 19 2" xfId="356" xr:uid="{00000000-0005-0000-0000-000050040000}"/>
    <cellStyle name="Normal 19 2 2" xfId="357" xr:uid="{00000000-0005-0000-0000-000051040000}"/>
    <cellStyle name="Normal 19 2 2 2" xfId="1308" xr:uid="{00000000-0005-0000-0000-000052040000}"/>
    <cellStyle name="Normal 19 2 2 2 2" xfId="1903" xr:uid="{00000000-0005-0000-0000-000053040000}"/>
    <cellStyle name="Normal 19 2 2 3" xfId="1307" xr:uid="{00000000-0005-0000-0000-000054040000}"/>
    <cellStyle name="Normal 19 2 3" xfId="1309" xr:uid="{00000000-0005-0000-0000-000055040000}"/>
    <cellStyle name="Normal 19 2 3 2" xfId="1904" xr:uid="{00000000-0005-0000-0000-000056040000}"/>
    <cellStyle name="Normal 19 2 4" xfId="1306" xr:uid="{00000000-0005-0000-0000-000057040000}"/>
    <cellStyle name="Normal 19 3" xfId="358" xr:uid="{00000000-0005-0000-0000-000058040000}"/>
    <cellStyle name="Normal 19 3 2" xfId="1311" xr:uid="{00000000-0005-0000-0000-000059040000}"/>
    <cellStyle name="Normal 19 3 2 2" xfId="1905" xr:uid="{00000000-0005-0000-0000-00005A040000}"/>
    <cellStyle name="Normal 19 3 3" xfId="1310" xr:uid="{00000000-0005-0000-0000-00005B040000}"/>
    <cellStyle name="Normal 19 4" xfId="1312" xr:uid="{00000000-0005-0000-0000-00005C040000}"/>
    <cellStyle name="Normal 19 4 2" xfId="1906" xr:uid="{00000000-0005-0000-0000-00005D040000}"/>
    <cellStyle name="Normal 19 5" xfId="1305" xr:uid="{00000000-0005-0000-0000-00005E040000}"/>
    <cellStyle name="Normal 2" xfId="359" xr:uid="{00000000-0005-0000-0000-00005F040000}"/>
    <cellStyle name="Normal 2 10" xfId="360" xr:uid="{00000000-0005-0000-0000-000060040000}"/>
    <cellStyle name="Normal 2 10 2" xfId="2498" xr:uid="{00000000-0005-0000-0000-000061040000}"/>
    <cellStyle name="Normal 2 10 3" xfId="2497" xr:uid="{00000000-0005-0000-0000-000062040000}"/>
    <cellStyle name="Normal 2 11" xfId="361" xr:uid="{00000000-0005-0000-0000-000063040000}"/>
    <cellStyle name="Normal 2 11 2" xfId="2499" xr:uid="{00000000-0005-0000-0000-000064040000}"/>
    <cellStyle name="Normal 2 12" xfId="362" xr:uid="{00000000-0005-0000-0000-000065040000}"/>
    <cellStyle name="Normal 2 12 2" xfId="568" xr:uid="{00000000-0005-0000-0000-000066040000}"/>
    <cellStyle name="Normal 2 12 3" xfId="2500" xr:uid="{00000000-0005-0000-0000-000067040000}"/>
    <cellStyle name="Normal 2 13" xfId="363" xr:uid="{00000000-0005-0000-0000-000068040000}"/>
    <cellStyle name="Normal 2 14" xfId="364" xr:uid="{00000000-0005-0000-0000-000069040000}"/>
    <cellStyle name="Normal 2 14 2" xfId="2484" xr:uid="{00000000-0005-0000-0000-00006A040000}"/>
    <cellStyle name="Normal 2 14 3" xfId="2501" xr:uid="{00000000-0005-0000-0000-00006B040000}"/>
    <cellStyle name="Normal 2 15" xfId="581" xr:uid="{00000000-0005-0000-0000-00006C040000}"/>
    <cellStyle name="Normal 2 15 2" xfId="763" xr:uid="{00000000-0005-0000-0000-00006D040000}"/>
    <cellStyle name="Normal 2 15 3" xfId="2502" xr:uid="{00000000-0005-0000-0000-00006E040000}"/>
    <cellStyle name="Normal 2 16" xfId="584" xr:uid="{00000000-0005-0000-0000-00006F040000}"/>
    <cellStyle name="Normal 2 16 2" xfId="1030" xr:uid="{00000000-0005-0000-0000-000070040000}"/>
    <cellStyle name="Normal 2 16 3" xfId="1031" xr:uid="{00000000-0005-0000-0000-000071040000}"/>
    <cellStyle name="Normal 2 16 4" xfId="1032" xr:uid="{00000000-0005-0000-0000-000072040000}"/>
    <cellStyle name="Normal 2 16 4 2" xfId="2559" xr:uid="{00000000-0005-0000-0000-000073040000}"/>
    <cellStyle name="Normal 2 16 5" xfId="2503" xr:uid="{00000000-0005-0000-0000-000074040000}"/>
    <cellStyle name="Normal 2 17" xfId="1089" xr:uid="{00000000-0005-0000-0000-000075040000}"/>
    <cellStyle name="Normal 2 17 2" xfId="1101" xr:uid="{00000000-0005-0000-0000-000076040000}"/>
    <cellStyle name="Normal 2 18" xfId="1313" xr:uid="{00000000-0005-0000-0000-000077040000}"/>
    <cellStyle name="Normal 2 18 2" xfId="2504" xr:uid="{00000000-0005-0000-0000-000078040000}"/>
    <cellStyle name="Normal 2 19" xfId="2505" xr:uid="{00000000-0005-0000-0000-000079040000}"/>
    <cellStyle name="Normal 2 2" xfId="365" xr:uid="{00000000-0005-0000-0000-00007A040000}"/>
    <cellStyle name="Normal 2 2 10" xfId="366" xr:uid="{00000000-0005-0000-0000-00007B040000}"/>
    <cellStyle name="Normal 2 2 10 2" xfId="2552" xr:uid="{00000000-0005-0000-0000-00007C040000}"/>
    <cellStyle name="Normal 2 2 11" xfId="367" xr:uid="{00000000-0005-0000-0000-00007D040000}"/>
    <cellStyle name="Normal 2 2 12" xfId="368" xr:uid="{00000000-0005-0000-0000-00007E040000}"/>
    <cellStyle name="Normal 2 2 2" xfId="369" xr:uid="{00000000-0005-0000-0000-00007F040000}"/>
    <cellStyle name="Normal 2 2 2 2" xfId="370" xr:uid="{00000000-0005-0000-0000-000080040000}"/>
    <cellStyle name="Normal 2 2 2 2 2" xfId="1907" xr:uid="{00000000-0005-0000-0000-000081040000}"/>
    <cellStyle name="Normal 2 2 2 3" xfId="1908" xr:uid="{00000000-0005-0000-0000-000082040000}"/>
    <cellStyle name="Normal 2 2 3" xfId="371" xr:uid="{00000000-0005-0000-0000-000083040000}"/>
    <cellStyle name="Normal 2 2 3 2" xfId="372" xr:uid="{00000000-0005-0000-0000-000084040000}"/>
    <cellStyle name="Normal 2 2 3 3" xfId="1314" xr:uid="{00000000-0005-0000-0000-000085040000}"/>
    <cellStyle name="Normal 2 2 4" xfId="373" xr:uid="{00000000-0005-0000-0000-000086040000}"/>
    <cellStyle name="Normal 2 2 4 2" xfId="374" xr:uid="{00000000-0005-0000-0000-000087040000}"/>
    <cellStyle name="Normal 2 2 5" xfId="375" xr:uid="{00000000-0005-0000-0000-000088040000}"/>
    <cellStyle name="Normal 2 2 5 2" xfId="376" xr:uid="{00000000-0005-0000-0000-000089040000}"/>
    <cellStyle name="Normal 2 2 6" xfId="377" xr:uid="{00000000-0005-0000-0000-00008A040000}"/>
    <cellStyle name="Normal 2 2 6 2" xfId="378" xr:uid="{00000000-0005-0000-0000-00008B040000}"/>
    <cellStyle name="Normal 2 2 7" xfId="379" xr:uid="{00000000-0005-0000-0000-00008C040000}"/>
    <cellStyle name="Normal 2 2 8" xfId="380" xr:uid="{00000000-0005-0000-0000-00008D040000}"/>
    <cellStyle name="Normal 2 2 9" xfId="381" xr:uid="{00000000-0005-0000-0000-00008E040000}"/>
    <cellStyle name="Normal 2 2_6a" xfId="382" xr:uid="{00000000-0005-0000-0000-00008F040000}"/>
    <cellStyle name="Normal 2 20" xfId="2506" xr:uid="{00000000-0005-0000-0000-000090040000}"/>
    <cellStyle name="Normal 2 21" xfId="2507" xr:uid="{00000000-0005-0000-0000-000091040000}"/>
    <cellStyle name="Normal 2 3" xfId="383" xr:uid="{00000000-0005-0000-0000-000092040000}"/>
    <cellStyle name="Normal 2 3 2" xfId="384" xr:uid="{00000000-0005-0000-0000-000093040000}"/>
    <cellStyle name="Normal 2 3 2 2" xfId="1315" xr:uid="{00000000-0005-0000-0000-000094040000}"/>
    <cellStyle name="Normal 2 3 3" xfId="385" xr:uid="{00000000-0005-0000-0000-000095040000}"/>
    <cellStyle name="Normal 2 3 3 2" xfId="1316" xr:uid="{00000000-0005-0000-0000-000096040000}"/>
    <cellStyle name="Normal 2 3 4" xfId="386" xr:uid="{00000000-0005-0000-0000-000097040000}"/>
    <cellStyle name="Normal 2 3 4 2" xfId="1317" xr:uid="{00000000-0005-0000-0000-000098040000}"/>
    <cellStyle name="Normal 2 3 5" xfId="387" xr:uid="{00000000-0005-0000-0000-000099040000}"/>
    <cellStyle name="Normal 2 3_6a" xfId="388" xr:uid="{00000000-0005-0000-0000-00009A040000}"/>
    <cellStyle name="Normal 2 4" xfId="389" xr:uid="{00000000-0005-0000-0000-00009B040000}"/>
    <cellStyle name="Normal 2 4 2" xfId="390" xr:uid="{00000000-0005-0000-0000-00009C040000}"/>
    <cellStyle name="Normal 2 4 2 2" xfId="764" xr:uid="{00000000-0005-0000-0000-00009D040000}"/>
    <cellStyle name="Normal 2 4 3" xfId="391" xr:uid="{00000000-0005-0000-0000-00009E040000}"/>
    <cellStyle name="Normal 2 4 4" xfId="392" xr:uid="{00000000-0005-0000-0000-00009F040000}"/>
    <cellStyle name="Normal 2 4 5" xfId="393" xr:uid="{00000000-0005-0000-0000-0000A0040000}"/>
    <cellStyle name="Normal 2 5" xfId="394" xr:uid="{00000000-0005-0000-0000-0000A1040000}"/>
    <cellStyle name="Normal 2 5 2" xfId="395" xr:uid="{00000000-0005-0000-0000-0000A2040000}"/>
    <cellStyle name="Normal 2 5 2 2" xfId="1909" xr:uid="{00000000-0005-0000-0000-0000A3040000}"/>
    <cellStyle name="Normal 2 5 3" xfId="396" xr:uid="{00000000-0005-0000-0000-0000A4040000}"/>
    <cellStyle name="Normal 2 5 4" xfId="397" xr:uid="{00000000-0005-0000-0000-0000A5040000}"/>
    <cellStyle name="Normal 2 5 5" xfId="398" xr:uid="{00000000-0005-0000-0000-0000A6040000}"/>
    <cellStyle name="Normal 2 6" xfId="399" xr:uid="{00000000-0005-0000-0000-0000A7040000}"/>
    <cellStyle name="Normal 2 6 2" xfId="400" xr:uid="{00000000-0005-0000-0000-0000A8040000}"/>
    <cellStyle name="Normal 2 7" xfId="401" xr:uid="{00000000-0005-0000-0000-0000A9040000}"/>
    <cellStyle name="Normal 2 7 2" xfId="1318" xr:uid="{00000000-0005-0000-0000-0000AA040000}"/>
    <cellStyle name="Normal 2 7 2 2" xfId="2508" xr:uid="{00000000-0005-0000-0000-0000AB040000}"/>
    <cellStyle name="Normal 2 7 3" xfId="2509" xr:uid="{00000000-0005-0000-0000-0000AC040000}"/>
    <cellStyle name="Normal 2 8" xfId="402" xr:uid="{00000000-0005-0000-0000-0000AD040000}"/>
    <cellStyle name="Normal 2 8 2" xfId="1319" xr:uid="{00000000-0005-0000-0000-0000AE040000}"/>
    <cellStyle name="Normal 2 8 2 2" xfId="2510" xr:uid="{00000000-0005-0000-0000-0000AF040000}"/>
    <cellStyle name="Normal 2 8 3" xfId="2511" xr:uid="{00000000-0005-0000-0000-0000B0040000}"/>
    <cellStyle name="Normal 2 9" xfId="403" xr:uid="{00000000-0005-0000-0000-0000B1040000}"/>
    <cellStyle name="Normal 2 9 2" xfId="2513" xr:uid="{00000000-0005-0000-0000-0000B2040000}"/>
    <cellStyle name="Normal 2 9 3" xfId="2512" xr:uid="{00000000-0005-0000-0000-0000B3040000}"/>
    <cellStyle name="Normal 2_6a" xfId="404" xr:uid="{00000000-0005-0000-0000-0000B4040000}"/>
    <cellStyle name="Normal 20" xfId="405" xr:uid="{00000000-0005-0000-0000-0000B5040000}"/>
    <cellStyle name="Normal 20 2" xfId="406" xr:uid="{00000000-0005-0000-0000-0000B6040000}"/>
    <cellStyle name="Normal 20 2 2" xfId="407" xr:uid="{00000000-0005-0000-0000-0000B7040000}"/>
    <cellStyle name="Normal 20 2 2 2" xfId="1322" xr:uid="{00000000-0005-0000-0000-0000B8040000}"/>
    <cellStyle name="Normal 20 2 2 2 2" xfId="1910" xr:uid="{00000000-0005-0000-0000-0000B9040000}"/>
    <cellStyle name="Normal 20 2 2 3" xfId="1321" xr:uid="{00000000-0005-0000-0000-0000BA040000}"/>
    <cellStyle name="Normal 20 2 3" xfId="1323" xr:uid="{00000000-0005-0000-0000-0000BB040000}"/>
    <cellStyle name="Normal 20 2 3 2" xfId="1911" xr:uid="{00000000-0005-0000-0000-0000BC040000}"/>
    <cellStyle name="Normal 20 2 4" xfId="1320" xr:uid="{00000000-0005-0000-0000-0000BD040000}"/>
    <cellStyle name="Normal 20 3" xfId="408" xr:uid="{00000000-0005-0000-0000-0000BE040000}"/>
    <cellStyle name="Normal 20 3 2" xfId="1324" xr:uid="{00000000-0005-0000-0000-0000BF040000}"/>
    <cellStyle name="Normal 20 3 2 2" xfId="1912" xr:uid="{00000000-0005-0000-0000-0000C0040000}"/>
    <cellStyle name="Normal 20 3 3" xfId="1913" xr:uid="{00000000-0005-0000-0000-0000C1040000}"/>
    <cellStyle name="Normal 20 4" xfId="765" xr:uid="{00000000-0005-0000-0000-0000C2040000}"/>
    <cellStyle name="Normal 20 4 2" xfId="1914" xr:uid="{00000000-0005-0000-0000-0000C3040000}"/>
    <cellStyle name="Normal 20 5" xfId="766" xr:uid="{00000000-0005-0000-0000-0000C4040000}"/>
    <cellStyle name="Normal 20 5 2" xfId="1325" xr:uid="{00000000-0005-0000-0000-0000C5040000}"/>
    <cellStyle name="Normal 20 5 2 2" xfId="1915" xr:uid="{00000000-0005-0000-0000-0000C6040000}"/>
    <cellStyle name="Normal 20 5 3" xfId="1916" xr:uid="{00000000-0005-0000-0000-0000C7040000}"/>
    <cellStyle name="Normal 20 6" xfId="1326" xr:uid="{00000000-0005-0000-0000-0000C8040000}"/>
    <cellStyle name="Normal 20 6 2" xfId="1917" xr:uid="{00000000-0005-0000-0000-0000C9040000}"/>
    <cellStyle name="Normal 20 7" xfId="1327" xr:uid="{00000000-0005-0000-0000-0000CA040000}"/>
    <cellStyle name="Normal 20 7 2" xfId="1918" xr:uid="{00000000-0005-0000-0000-0000CB040000}"/>
    <cellStyle name="Normal 20 8" xfId="1328" xr:uid="{00000000-0005-0000-0000-0000CC040000}"/>
    <cellStyle name="Normal 20 8 2" xfId="1919" xr:uid="{00000000-0005-0000-0000-0000CD040000}"/>
    <cellStyle name="Normal 20 9" xfId="1920" xr:uid="{00000000-0005-0000-0000-0000CE040000}"/>
    <cellStyle name="Normal 21" xfId="409" xr:uid="{00000000-0005-0000-0000-0000CF040000}"/>
    <cellStyle name="Normal 21 2" xfId="410" xr:uid="{00000000-0005-0000-0000-0000D0040000}"/>
    <cellStyle name="Normal 21 2 2" xfId="411" xr:uid="{00000000-0005-0000-0000-0000D1040000}"/>
    <cellStyle name="Normal 21 2 2 2" xfId="1332" xr:uid="{00000000-0005-0000-0000-0000D2040000}"/>
    <cellStyle name="Normal 21 2 2 2 2" xfId="1921" xr:uid="{00000000-0005-0000-0000-0000D3040000}"/>
    <cellStyle name="Normal 21 2 2 3" xfId="1331" xr:uid="{00000000-0005-0000-0000-0000D4040000}"/>
    <cellStyle name="Normal 21 2 3" xfId="1333" xr:uid="{00000000-0005-0000-0000-0000D5040000}"/>
    <cellStyle name="Normal 21 2 3 2" xfId="1922" xr:uid="{00000000-0005-0000-0000-0000D6040000}"/>
    <cellStyle name="Normal 21 2 4" xfId="1330" xr:uid="{00000000-0005-0000-0000-0000D7040000}"/>
    <cellStyle name="Normal 21 3" xfId="412" xr:uid="{00000000-0005-0000-0000-0000D8040000}"/>
    <cellStyle name="Normal 21 3 2" xfId="1335" xr:uid="{00000000-0005-0000-0000-0000D9040000}"/>
    <cellStyle name="Normal 21 3 2 2" xfId="1923" xr:uid="{00000000-0005-0000-0000-0000DA040000}"/>
    <cellStyle name="Normal 21 3 3" xfId="1334" xr:uid="{00000000-0005-0000-0000-0000DB040000}"/>
    <cellStyle name="Normal 21 4" xfId="1336" xr:uid="{00000000-0005-0000-0000-0000DC040000}"/>
    <cellStyle name="Normal 21 4 2" xfId="1924" xr:uid="{00000000-0005-0000-0000-0000DD040000}"/>
    <cellStyle name="Normal 21 5" xfId="1329" xr:uid="{00000000-0005-0000-0000-0000DE040000}"/>
    <cellStyle name="Normal 22" xfId="413" xr:uid="{00000000-0005-0000-0000-0000DF040000}"/>
    <cellStyle name="Normal 22 2" xfId="414" xr:uid="{00000000-0005-0000-0000-0000E0040000}"/>
    <cellStyle name="Normal 22 2 2" xfId="767" xr:uid="{00000000-0005-0000-0000-0000E1040000}"/>
    <cellStyle name="Normal 22 2 2 2" xfId="1337" xr:uid="{00000000-0005-0000-0000-0000E2040000}"/>
    <cellStyle name="Normal 22 2 2 2 2" xfId="1925" xr:uid="{00000000-0005-0000-0000-0000E3040000}"/>
    <cellStyle name="Normal 22 2 2 3" xfId="1926" xr:uid="{00000000-0005-0000-0000-0000E4040000}"/>
    <cellStyle name="Normal 22 2 3" xfId="1338" xr:uid="{00000000-0005-0000-0000-0000E5040000}"/>
    <cellStyle name="Normal 22 2 3 2" xfId="1927" xr:uid="{00000000-0005-0000-0000-0000E6040000}"/>
    <cellStyle name="Normal 22 2 4" xfId="1928" xr:uid="{00000000-0005-0000-0000-0000E7040000}"/>
    <cellStyle name="Normal 22 3" xfId="602" xr:uid="{00000000-0005-0000-0000-0000E8040000}"/>
    <cellStyle name="Normal 22 3 2" xfId="1340" xr:uid="{00000000-0005-0000-0000-0000E9040000}"/>
    <cellStyle name="Normal 22 3 2 2" xfId="1929" xr:uid="{00000000-0005-0000-0000-0000EA040000}"/>
    <cellStyle name="Normal 22 3 3" xfId="1339" xr:uid="{00000000-0005-0000-0000-0000EB040000}"/>
    <cellStyle name="Normal 22 4" xfId="1341" xr:uid="{00000000-0005-0000-0000-0000EC040000}"/>
    <cellStyle name="Normal 22 4 2" xfId="1930" xr:uid="{00000000-0005-0000-0000-0000ED040000}"/>
    <cellStyle name="Normal 22 5" xfId="1931" xr:uid="{00000000-0005-0000-0000-0000EE040000}"/>
    <cellStyle name="Normal 23" xfId="415" xr:uid="{00000000-0005-0000-0000-0000EF040000}"/>
    <cellStyle name="Normal 23 2" xfId="416" xr:uid="{00000000-0005-0000-0000-0000F0040000}"/>
    <cellStyle name="Normal 23 2 2" xfId="768" xr:uid="{00000000-0005-0000-0000-0000F1040000}"/>
    <cellStyle name="Normal 23 2 2 2" xfId="1342" xr:uid="{00000000-0005-0000-0000-0000F2040000}"/>
    <cellStyle name="Normal 23 2 2 2 2" xfId="1932" xr:uid="{00000000-0005-0000-0000-0000F3040000}"/>
    <cellStyle name="Normal 23 2 2 3" xfId="1933" xr:uid="{00000000-0005-0000-0000-0000F4040000}"/>
    <cellStyle name="Normal 23 2 3" xfId="1343" xr:uid="{00000000-0005-0000-0000-0000F5040000}"/>
    <cellStyle name="Normal 23 2 3 2" xfId="1934" xr:uid="{00000000-0005-0000-0000-0000F6040000}"/>
    <cellStyle name="Normal 23 2 4" xfId="1935" xr:uid="{00000000-0005-0000-0000-0000F7040000}"/>
    <cellStyle name="Normal 23 3" xfId="769" xr:uid="{00000000-0005-0000-0000-0000F8040000}"/>
    <cellStyle name="Normal 23 3 2" xfId="1344" xr:uid="{00000000-0005-0000-0000-0000F9040000}"/>
    <cellStyle name="Normal 23 3 2 2" xfId="1936" xr:uid="{00000000-0005-0000-0000-0000FA040000}"/>
    <cellStyle name="Normal 23 3 3" xfId="1937" xr:uid="{00000000-0005-0000-0000-0000FB040000}"/>
    <cellStyle name="Normal 23 4" xfId="770" xr:uid="{00000000-0005-0000-0000-0000FC040000}"/>
    <cellStyle name="Normal 23 4 2" xfId="1938" xr:uid="{00000000-0005-0000-0000-0000FD040000}"/>
    <cellStyle name="Normal 23 5" xfId="771" xr:uid="{00000000-0005-0000-0000-0000FE040000}"/>
    <cellStyle name="Normal 23 5 2" xfId="1345" xr:uid="{00000000-0005-0000-0000-0000FF040000}"/>
    <cellStyle name="Normal 23 5 2 2" xfId="1939" xr:uid="{00000000-0005-0000-0000-000000050000}"/>
    <cellStyle name="Normal 23 5 3" xfId="1940" xr:uid="{00000000-0005-0000-0000-000001050000}"/>
    <cellStyle name="Normal 23 6" xfId="1033" xr:uid="{00000000-0005-0000-0000-000002050000}"/>
    <cellStyle name="Normal 23 6 2" xfId="1346" xr:uid="{00000000-0005-0000-0000-000003050000}"/>
    <cellStyle name="Normal 23 7" xfId="1347" xr:uid="{00000000-0005-0000-0000-000004050000}"/>
    <cellStyle name="Normal 23 7 2" xfId="1941" xr:uid="{00000000-0005-0000-0000-000005050000}"/>
    <cellStyle name="Normal 23 8" xfId="1348" xr:uid="{00000000-0005-0000-0000-000006050000}"/>
    <cellStyle name="Normal 23 8 2" xfId="1942" xr:uid="{00000000-0005-0000-0000-000007050000}"/>
    <cellStyle name="Normal 23 9" xfId="1943" xr:uid="{00000000-0005-0000-0000-000008050000}"/>
    <cellStyle name="Normal 24" xfId="417" xr:uid="{00000000-0005-0000-0000-000009050000}"/>
    <cellStyle name="Normal 24 2" xfId="418" xr:uid="{00000000-0005-0000-0000-00000A050000}"/>
    <cellStyle name="Normal 24 2 2" xfId="1349" xr:uid="{00000000-0005-0000-0000-00000B050000}"/>
    <cellStyle name="Normal 24 2 2 2" xfId="1944" xr:uid="{00000000-0005-0000-0000-00000C050000}"/>
    <cellStyle name="Normal 24 2 3" xfId="1945" xr:uid="{00000000-0005-0000-0000-00000D050000}"/>
    <cellStyle name="Normal 24 3" xfId="772" xr:uid="{00000000-0005-0000-0000-00000E050000}"/>
    <cellStyle name="Normal 24 3 2" xfId="1350" xr:uid="{00000000-0005-0000-0000-00000F050000}"/>
    <cellStyle name="Normal 24 4" xfId="1946" xr:uid="{00000000-0005-0000-0000-000010050000}"/>
    <cellStyle name="Normal 25" xfId="419" xr:uid="{00000000-0005-0000-0000-000011050000}"/>
    <cellStyle name="Normal 25 2" xfId="420" xr:uid="{00000000-0005-0000-0000-000012050000}"/>
    <cellStyle name="Normal 25 2 2" xfId="1352" xr:uid="{00000000-0005-0000-0000-000013050000}"/>
    <cellStyle name="Normal 25 3" xfId="622" xr:uid="{00000000-0005-0000-0000-000014050000}"/>
    <cellStyle name="Normal 25 4" xfId="1351" xr:uid="{00000000-0005-0000-0000-000015050000}"/>
    <cellStyle name="Normal 26" xfId="421" xr:uid="{00000000-0005-0000-0000-000016050000}"/>
    <cellStyle name="Normal 26 2" xfId="422" xr:uid="{00000000-0005-0000-0000-000017050000}"/>
    <cellStyle name="Normal 26 2 2" xfId="1353" xr:uid="{00000000-0005-0000-0000-000018050000}"/>
    <cellStyle name="Normal 26 2 2 2" xfId="1947" xr:uid="{00000000-0005-0000-0000-000019050000}"/>
    <cellStyle name="Normal 26 2 3" xfId="1948" xr:uid="{00000000-0005-0000-0000-00001A050000}"/>
    <cellStyle name="Normal 26 3" xfId="603" xr:uid="{00000000-0005-0000-0000-00001B050000}"/>
    <cellStyle name="Normal 26 3 2" xfId="1354" xr:uid="{00000000-0005-0000-0000-00001C050000}"/>
    <cellStyle name="Normal 26 4" xfId="1949" xr:uid="{00000000-0005-0000-0000-00001D050000}"/>
    <cellStyle name="Normal 27" xfId="423" xr:uid="{00000000-0005-0000-0000-00001E050000}"/>
    <cellStyle name="Normal 27 2" xfId="555" xr:uid="{00000000-0005-0000-0000-00001F050000}"/>
    <cellStyle name="Normal 27 2 2" xfId="1950" xr:uid="{00000000-0005-0000-0000-000020050000}"/>
    <cellStyle name="Normal 27 3" xfId="1951" xr:uid="{00000000-0005-0000-0000-000021050000}"/>
    <cellStyle name="Normal 28" xfId="424" xr:uid="{00000000-0005-0000-0000-000022050000}"/>
    <cellStyle name="Normal 28 2" xfId="556" xr:uid="{00000000-0005-0000-0000-000023050000}"/>
    <cellStyle name="Normal 28 2 2" xfId="1356" xr:uid="{00000000-0005-0000-0000-000024050000}"/>
    <cellStyle name="Normal 28 3" xfId="1355" xr:uid="{00000000-0005-0000-0000-000025050000}"/>
    <cellStyle name="Normal 29" xfId="425" xr:uid="{00000000-0005-0000-0000-000026050000}"/>
    <cellStyle name="Normal 29 2" xfId="557" xr:uid="{00000000-0005-0000-0000-000027050000}"/>
    <cellStyle name="Normal 29 2 2" xfId="1357" xr:uid="{00000000-0005-0000-0000-000028050000}"/>
    <cellStyle name="Normal 29 2 2 2" xfId="1952" xr:uid="{00000000-0005-0000-0000-000029050000}"/>
    <cellStyle name="Normal 29 2 3" xfId="1953" xr:uid="{00000000-0005-0000-0000-00002A050000}"/>
    <cellStyle name="Normal 29 3" xfId="773" xr:uid="{00000000-0005-0000-0000-00002B050000}"/>
    <cellStyle name="Normal 29 3 2" xfId="1954" xr:uid="{00000000-0005-0000-0000-00002C050000}"/>
    <cellStyle name="Normal 29 4" xfId="1358" xr:uid="{00000000-0005-0000-0000-00002D050000}"/>
    <cellStyle name="Normal 29 4 2" xfId="1955" xr:uid="{00000000-0005-0000-0000-00002E050000}"/>
    <cellStyle name="Normal 29 5" xfId="1359" xr:uid="{00000000-0005-0000-0000-00002F050000}"/>
    <cellStyle name="Normal 29 5 2" xfId="1956" xr:uid="{00000000-0005-0000-0000-000030050000}"/>
    <cellStyle name="Normal 29 6" xfId="1957" xr:uid="{00000000-0005-0000-0000-000031050000}"/>
    <cellStyle name="Normal 3" xfId="426" xr:uid="{00000000-0005-0000-0000-000032050000}"/>
    <cellStyle name="Normal 3 10" xfId="2548" xr:uid="{00000000-0005-0000-0000-000033050000}"/>
    <cellStyle name="Normal 3 11" xfId="2596" xr:uid="{00000000-0005-0000-0000-000034050000}"/>
    <cellStyle name="Normal 3 2" xfId="427" xr:uid="{00000000-0005-0000-0000-000035050000}"/>
    <cellStyle name="Normal 3 2 2" xfId="428" xr:uid="{00000000-0005-0000-0000-000036050000}"/>
    <cellStyle name="Normal 3 2 2 2" xfId="1360" xr:uid="{00000000-0005-0000-0000-000037050000}"/>
    <cellStyle name="Normal 3 3" xfId="429" xr:uid="{00000000-0005-0000-0000-000038050000}"/>
    <cellStyle name="Normal 3 3 2" xfId="430" xr:uid="{00000000-0005-0000-0000-000039050000}"/>
    <cellStyle name="Normal 3 3 2 2" xfId="431" xr:uid="{00000000-0005-0000-0000-00003A050000}"/>
    <cellStyle name="Normal 3 3 2 3" xfId="1362" xr:uid="{00000000-0005-0000-0000-00003B050000}"/>
    <cellStyle name="Normal 3 3 3" xfId="432" xr:uid="{00000000-0005-0000-0000-00003C050000}"/>
    <cellStyle name="Normal 3 3 4" xfId="1361" xr:uid="{00000000-0005-0000-0000-00003D050000}"/>
    <cellStyle name="Normal 3 4" xfId="433" xr:uid="{00000000-0005-0000-0000-00003E050000}"/>
    <cellStyle name="Normal 3 4 2" xfId="434" xr:uid="{00000000-0005-0000-0000-00003F050000}"/>
    <cellStyle name="Normal 3 5" xfId="435" xr:uid="{00000000-0005-0000-0000-000040050000}"/>
    <cellStyle name="Normal 3 5 2" xfId="1363" xr:uid="{00000000-0005-0000-0000-000041050000}"/>
    <cellStyle name="Normal 3 6" xfId="436" xr:uid="{00000000-0005-0000-0000-000042050000}"/>
    <cellStyle name="Normal 3 6 2" xfId="1364" xr:uid="{00000000-0005-0000-0000-000043050000}"/>
    <cellStyle name="Normal 3 7" xfId="437" xr:uid="{00000000-0005-0000-0000-000044050000}"/>
    <cellStyle name="Normal 3 7 2" xfId="1365" xr:uid="{00000000-0005-0000-0000-000045050000}"/>
    <cellStyle name="Normal 3 8" xfId="438" xr:uid="{00000000-0005-0000-0000-000046050000}"/>
    <cellStyle name="Normal 3 8 2" xfId="1366" xr:uid="{00000000-0005-0000-0000-000047050000}"/>
    <cellStyle name="Normal 3 9" xfId="2514" xr:uid="{00000000-0005-0000-0000-000048050000}"/>
    <cellStyle name="Normal 3_6a" xfId="439" xr:uid="{00000000-0005-0000-0000-000049050000}"/>
    <cellStyle name="Normal 30" xfId="440" xr:uid="{00000000-0005-0000-0000-00004A050000}"/>
    <cellStyle name="Normal 30 2" xfId="558" xr:uid="{00000000-0005-0000-0000-00004B050000}"/>
    <cellStyle name="Normal 30 2 2" xfId="1958" xr:uid="{00000000-0005-0000-0000-00004C050000}"/>
    <cellStyle name="Normal 30 3" xfId="1959" xr:uid="{00000000-0005-0000-0000-00004D050000}"/>
    <cellStyle name="Normal 31" xfId="441" xr:uid="{00000000-0005-0000-0000-00004E050000}"/>
    <cellStyle name="Normal 31 2" xfId="559" xr:uid="{00000000-0005-0000-0000-00004F050000}"/>
    <cellStyle name="Normal 31 2 2" xfId="1960" xr:uid="{00000000-0005-0000-0000-000050050000}"/>
    <cellStyle name="Normal 31 3" xfId="1961" xr:uid="{00000000-0005-0000-0000-000051050000}"/>
    <cellStyle name="Normal 32" xfId="442" xr:uid="{00000000-0005-0000-0000-000052050000}"/>
    <cellStyle name="Normal 32 2" xfId="560" xr:uid="{00000000-0005-0000-0000-000053050000}"/>
    <cellStyle name="Normal 32 3" xfId="1367" xr:uid="{00000000-0005-0000-0000-000054050000}"/>
    <cellStyle name="Normal 33" xfId="443" xr:uid="{00000000-0005-0000-0000-000055050000}"/>
    <cellStyle name="Normal 33 2" xfId="561" xr:uid="{00000000-0005-0000-0000-000056050000}"/>
    <cellStyle name="Normal 33 2 2" xfId="1962" xr:uid="{00000000-0005-0000-0000-000057050000}"/>
    <cellStyle name="Normal 33 3" xfId="1963" xr:uid="{00000000-0005-0000-0000-000058050000}"/>
    <cellStyle name="Normal 34" xfId="444" xr:uid="{00000000-0005-0000-0000-000059050000}"/>
    <cellStyle name="Normal 34 2" xfId="562" xr:uid="{00000000-0005-0000-0000-00005A050000}"/>
    <cellStyle name="Normal 34 2 2" xfId="1964" xr:uid="{00000000-0005-0000-0000-00005B050000}"/>
    <cellStyle name="Normal 34 3" xfId="1965" xr:uid="{00000000-0005-0000-0000-00005C050000}"/>
    <cellStyle name="Normal 35" xfId="445" xr:uid="{00000000-0005-0000-0000-00005D050000}"/>
    <cellStyle name="Normal 35 2" xfId="563" xr:uid="{00000000-0005-0000-0000-00005E050000}"/>
    <cellStyle name="Normal 35 3" xfId="1368" xr:uid="{00000000-0005-0000-0000-00005F050000}"/>
    <cellStyle name="Normal 36" xfId="446" xr:uid="{00000000-0005-0000-0000-000060050000}"/>
    <cellStyle name="Normal 36 2" xfId="564" xr:uid="{00000000-0005-0000-0000-000061050000}"/>
    <cellStyle name="Normal 36 2 2" xfId="1966" xr:uid="{00000000-0005-0000-0000-000062050000}"/>
    <cellStyle name="Normal 36 3" xfId="1967" xr:uid="{00000000-0005-0000-0000-000063050000}"/>
    <cellStyle name="Normal 37" xfId="447" xr:uid="{00000000-0005-0000-0000-000064050000}"/>
    <cellStyle name="Normal 37 2" xfId="565" xr:uid="{00000000-0005-0000-0000-000065050000}"/>
    <cellStyle name="Normal 37 2 2" xfId="1968" xr:uid="{00000000-0005-0000-0000-000066050000}"/>
    <cellStyle name="Normal 37 3" xfId="1969" xr:uid="{00000000-0005-0000-0000-000067050000}"/>
    <cellStyle name="Normal 38" xfId="448" xr:uid="{00000000-0005-0000-0000-000068050000}"/>
    <cellStyle name="Normal 38 2" xfId="566" xr:uid="{00000000-0005-0000-0000-000069050000}"/>
    <cellStyle name="Normal 39" xfId="449" xr:uid="{00000000-0005-0000-0000-00006A050000}"/>
    <cellStyle name="Normal 39 2" xfId="567" xr:uid="{00000000-0005-0000-0000-00006B050000}"/>
    <cellStyle name="Normal 39 2 2" xfId="1970" xr:uid="{00000000-0005-0000-0000-00006C050000}"/>
    <cellStyle name="Normal 39 3" xfId="551" xr:uid="{00000000-0005-0000-0000-00006D050000}"/>
    <cellStyle name="Normal 4" xfId="450" xr:uid="{00000000-0005-0000-0000-00006E050000}"/>
    <cellStyle name="Normal 4 10" xfId="774" xr:uid="{00000000-0005-0000-0000-00006F050000}"/>
    <cellStyle name="Normal 4 10 2" xfId="1369" xr:uid="{00000000-0005-0000-0000-000070050000}"/>
    <cellStyle name="Normal 4 10 2 2" xfId="1971" xr:uid="{00000000-0005-0000-0000-000071050000}"/>
    <cellStyle name="Normal 4 10 3" xfId="1972" xr:uid="{00000000-0005-0000-0000-000072050000}"/>
    <cellStyle name="Normal 4 11" xfId="775" xr:uid="{00000000-0005-0000-0000-000073050000}"/>
    <cellStyle name="Normal 4 11 2" xfId="1973" xr:uid="{00000000-0005-0000-0000-000074050000}"/>
    <cellStyle name="Normal 4 12" xfId="776" xr:uid="{00000000-0005-0000-0000-000075050000}"/>
    <cellStyle name="Normal 4 12 2" xfId="1370" xr:uid="{00000000-0005-0000-0000-000076050000}"/>
    <cellStyle name="Normal 4 12 2 2" xfId="1974" xr:uid="{00000000-0005-0000-0000-000077050000}"/>
    <cellStyle name="Normal 4 12 3" xfId="1975" xr:uid="{00000000-0005-0000-0000-000078050000}"/>
    <cellStyle name="Normal 4 13" xfId="1371" xr:uid="{00000000-0005-0000-0000-000079050000}"/>
    <cellStyle name="Normal 4 13 2" xfId="1976" xr:uid="{00000000-0005-0000-0000-00007A050000}"/>
    <cellStyle name="Normal 4 14" xfId="1372" xr:uid="{00000000-0005-0000-0000-00007B050000}"/>
    <cellStyle name="Normal 4 15" xfId="1373" xr:uid="{00000000-0005-0000-0000-00007C050000}"/>
    <cellStyle name="Normal 4 15 2" xfId="1977" xr:uid="{00000000-0005-0000-0000-00007D050000}"/>
    <cellStyle name="Normal 4 16" xfId="1978" xr:uid="{00000000-0005-0000-0000-00007E050000}"/>
    <cellStyle name="Normal 4 17" xfId="2601" xr:uid="{00000000-0005-0000-0000-00007F050000}"/>
    <cellStyle name="Normal 4 2" xfId="451" xr:uid="{00000000-0005-0000-0000-000080050000}"/>
    <cellStyle name="Normal 4 2 2" xfId="452" xr:uid="{00000000-0005-0000-0000-000081050000}"/>
    <cellStyle name="Normal 4 2 2 2" xfId="453" xr:uid="{00000000-0005-0000-0000-000082050000}"/>
    <cellStyle name="Normal 4 2 2 2 2" xfId="777" xr:uid="{00000000-0005-0000-0000-000083050000}"/>
    <cellStyle name="Normal 4 2 2 2 2 2" xfId="1374" xr:uid="{00000000-0005-0000-0000-000084050000}"/>
    <cellStyle name="Normal 4 2 2 2 2 2 2" xfId="1979" xr:uid="{00000000-0005-0000-0000-000085050000}"/>
    <cellStyle name="Normal 4 2 2 2 2 3" xfId="1980" xr:uid="{00000000-0005-0000-0000-000086050000}"/>
    <cellStyle name="Normal 4 2 2 2 3" xfId="1375" xr:uid="{00000000-0005-0000-0000-000087050000}"/>
    <cellStyle name="Normal 4 2 2 2 3 2" xfId="1981" xr:uid="{00000000-0005-0000-0000-000088050000}"/>
    <cellStyle name="Normal 4 2 2 2 4" xfId="1982" xr:uid="{00000000-0005-0000-0000-000089050000}"/>
    <cellStyle name="Normal 4 2 2 3" xfId="778" xr:uid="{00000000-0005-0000-0000-00008A050000}"/>
    <cellStyle name="Normal 4 2 2 3 2" xfId="1376" xr:uid="{00000000-0005-0000-0000-00008B050000}"/>
    <cellStyle name="Normal 4 2 2 3 2 2" xfId="1983" xr:uid="{00000000-0005-0000-0000-00008C050000}"/>
    <cellStyle name="Normal 4 2 2 3 3" xfId="1984" xr:uid="{00000000-0005-0000-0000-00008D050000}"/>
    <cellStyle name="Normal 4 2 2 4" xfId="1377" xr:uid="{00000000-0005-0000-0000-00008E050000}"/>
    <cellStyle name="Normal 4 2 2 4 2" xfId="1985" xr:uid="{00000000-0005-0000-0000-00008F050000}"/>
    <cellStyle name="Normal 4 2 2 5" xfId="1986" xr:uid="{00000000-0005-0000-0000-000090050000}"/>
    <cellStyle name="Normal 4 2 3" xfId="454" xr:uid="{00000000-0005-0000-0000-000091050000}"/>
    <cellStyle name="Normal 4 2 3 2" xfId="779" xr:uid="{00000000-0005-0000-0000-000092050000}"/>
    <cellStyle name="Normal 4 2 3 2 2" xfId="1378" xr:uid="{00000000-0005-0000-0000-000093050000}"/>
    <cellStyle name="Normal 4 2 3 2 2 2" xfId="1987" xr:uid="{00000000-0005-0000-0000-000094050000}"/>
    <cellStyle name="Normal 4 2 3 2 3" xfId="1988" xr:uid="{00000000-0005-0000-0000-000095050000}"/>
    <cellStyle name="Normal 4 2 3 3" xfId="1379" xr:uid="{00000000-0005-0000-0000-000096050000}"/>
    <cellStyle name="Normal 4 2 3 3 2" xfId="1989" xr:uid="{00000000-0005-0000-0000-000097050000}"/>
    <cellStyle name="Normal 4 2 3 4" xfId="1990" xr:uid="{00000000-0005-0000-0000-000098050000}"/>
    <cellStyle name="Normal 4 2 4" xfId="780" xr:uid="{00000000-0005-0000-0000-000099050000}"/>
    <cellStyle name="Normal 4 2 4 2" xfId="1380" xr:uid="{00000000-0005-0000-0000-00009A050000}"/>
    <cellStyle name="Normal 4 2 4 2 2" xfId="1991" xr:uid="{00000000-0005-0000-0000-00009B050000}"/>
    <cellStyle name="Normal 4 2 4 3" xfId="1992" xr:uid="{00000000-0005-0000-0000-00009C050000}"/>
    <cellStyle name="Normal 4 2 5" xfId="1381" xr:uid="{00000000-0005-0000-0000-00009D050000}"/>
    <cellStyle name="Normal 4 2 5 2" xfId="1993" xr:uid="{00000000-0005-0000-0000-00009E050000}"/>
    <cellStyle name="Normal 4 2 6" xfId="1994" xr:uid="{00000000-0005-0000-0000-00009F050000}"/>
    <cellStyle name="Normal 4 2 7" xfId="2515" xr:uid="{00000000-0005-0000-0000-0000A0050000}"/>
    <cellStyle name="Normal 4 3" xfId="455" xr:uid="{00000000-0005-0000-0000-0000A1050000}"/>
    <cellStyle name="Normal 4 3 2" xfId="781" xr:uid="{00000000-0005-0000-0000-0000A2050000}"/>
    <cellStyle name="Normal 4 3 2 2" xfId="782" xr:uid="{00000000-0005-0000-0000-0000A3050000}"/>
    <cellStyle name="Normal 4 3 2 2 2" xfId="783" xr:uid="{00000000-0005-0000-0000-0000A4050000}"/>
    <cellStyle name="Normal 4 3 2 2 2 2" xfId="1382" xr:uid="{00000000-0005-0000-0000-0000A5050000}"/>
    <cellStyle name="Normal 4 3 2 2 2 2 2" xfId="1995" xr:uid="{00000000-0005-0000-0000-0000A6050000}"/>
    <cellStyle name="Normal 4 3 2 2 2 3" xfId="1996" xr:uid="{00000000-0005-0000-0000-0000A7050000}"/>
    <cellStyle name="Normal 4 3 2 2 3" xfId="1383" xr:uid="{00000000-0005-0000-0000-0000A8050000}"/>
    <cellStyle name="Normal 4 3 2 2 3 2" xfId="1997" xr:uid="{00000000-0005-0000-0000-0000A9050000}"/>
    <cellStyle name="Normal 4 3 2 2 4" xfId="1998" xr:uid="{00000000-0005-0000-0000-0000AA050000}"/>
    <cellStyle name="Normal 4 3 2 3" xfId="784" xr:uid="{00000000-0005-0000-0000-0000AB050000}"/>
    <cellStyle name="Normal 4 3 2 3 2" xfId="1384" xr:uid="{00000000-0005-0000-0000-0000AC050000}"/>
    <cellStyle name="Normal 4 3 2 3 2 2" xfId="1999" xr:uid="{00000000-0005-0000-0000-0000AD050000}"/>
    <cellStyle name="Normal 4 3 2 3 3" xfId="2000" xr:uid="{00000000-0005-0000-0000-0000AE050000}"/>
    <cellStyle name="Normal 4 3 2 4" xfId="1385" xr:uid="{00000000-0005-0000-0000-0000AF050000}"/>
    <cellStyle name="Normal 4 3 2 4 2" xfId="2001" xr:uid="{00000000-0005-0000-0000-0000B0050000}"/>
    <cellStyle name="Normal 4 3 2 5" xfId="2002" xr:uid="{00000000-0005-0000-0000-0000B1050000}"/>
    <cellStyle name="Normal 4 3 3" xfId="785" xr:uid="{00000000-0005-0000-0000-0000B2050000}"/>
    <cellStyle name="Normal 4 3 3 2" xfId="786" xr:uid="{00000000-0005-0000-0000-0000B3050000}"/>
    <cellStyle name="Normal 4 3 3 2 2" xfId="1386" xr:uid="{00000000-0005-0000-0000-0000B4050000}"/>
    <cellStyle name="Normal 4 3 3 2 2 2" xfId="2003" xr:uid="{00000000-0005-0000-0000-0000B5050000}"/>
    <cellStyle name="Normal 4 3 3 2 3" xfId="2004" xr:uid="{00000000-0005-0000-0000-0000B6050000}"/>
    <cellStyle name="Normal 4 3 3 3" xfId="1387" xr:uid="{00000000-0005-0000-0000-0000B7050000}"/>
    <cellStyle name="Normal 4 3 3 3 2" xfId="2005" xr:uid="{00000000-0005-0000-0000-0000B8050000}"/>
    <cellStyle name="Normal 4 3 3 4" xfId="2006" xr:uid="{00000000-0005-0000-0000-0000B9050000}"/>
    <cellStyle name="Normal 4 3 4" xfId="787" xr:uid="{00000000-0005-0000-0000-0000BA050000}"/>
    <cellStyle name="Normal 4 3 4 2" xfId="1388" xr:uid="{00000000-0005-0000-0000-0000BB050000}"/>
    <cellStyle name="Normal 4 3 4 2 2" xfId="2007" xr:uid="{00000000-0005-0000-0000-0000BC050000}"/>
    <cellStyle name="Normal 4 3 4 3" xfId="2008" xr:uid="{00000000-0005-0000-0000-0000BD050000}"/>
    <cellStyle name="Normal 4 3 5" xfId="1389" xr:uid="{00000000-0005-0000-0000-0000BE050000}"/>
    <cellStyle name="Normal 4 3 5 2" xfId="2009" xr:uid="{00000000-0005-0000-0000-0000BF050000}"/>
    <cellStyle name="Normal 4 3 6" xfId="2010" xr:uid="{00000000-0005-0000-0000-0000C0050000}"/>
    <cellStyle name="Normal 4 4" xfId="456" xr:uid="{00000000-0005-0000-0000-0000C1050000}"/>
    <cellStyle name="Normal 4 4 2" xfId="788" xr:uid="{00000000-0005-0000-0000-0000C2050000}"/>
    <cellStyle name="Normal 4 4 2 2" xfId="789" xr:uid="{00000000-0005-0000-0000-0000C3050000}"/>
    <cellStyle name="Normal 4 4 2 2 2" xfId="790" xr:uid="{00000000-0005-0000-0000-0000C4050000}"/>
    <cellStyle name="Normal 4 4 2 2 2 2" xfId="1390" xr:uid="{00000000-0005-0000-0000-0000C5050000}"/>
    <cellStyle name="Normal 4 4 2 2 2 2 2" xfId="2011" xr:uid="{00000000-0005-0000-0000-0000C6050000}"/>
    <cellStyle name="Normal 4 4 2 2 2 3" xfId="2012" xr:uid="{00000000-0005-0000-0000-0000C7050000}"/>
    <cellStyle name="Normal 4 4 2 2 3" xfId="1391" xr:uid="{00000000-0005-0000-0000-0000C8050000}"/>
    <cellStyle name="Normal 4 4 2 2 3 2" xfId="2013" xr:uid="{00000000-0005-0000-0000-0000C9050000}"/>
    <cellStyle name="Normal 4 4 2 2 4" xfId="2014" xr:uid="{00000000-0005-0000-0000-0000CA050000}"/>
    <cellStyle name="Normal 4 4 2 3" xfId="791" xr:uid="{00000000-0005-0000-0000-0000CB050000}"/>
    <cellStyle name="Normal 4 4 2 3 2" xfId="1392" xr:uid="{00000000-0005-0000-0000-0000CC050000}"/>
    <cellStyle name="Normal 4 4 2 3 2 2" xfId="2015" xr:uid="{00000000-0005-0000-0000-0000CD050000}"/>
    <cellStyle name="Normal 4 4 2 3 3" xfId="2016" xr:uid="{00000000-0005-0000-0000-0000CE050000}"/>
    <cellStyle name="Normal 4 4 2 4" xfId="1393" xr:uid="{00000000-0005-0000-0000-0000CF050000}"/>
    <cellStyle name="Normal 4 4 2 4 2" xfId="2017" xr:uid="{00000000-0005-0000-0000-0000D0050000}"/>
    <cellStyle name="Normal 4 4 2 5" xfId="2018" xr:uid="{00000000-0005-0000-0000-0000D1050000}"/>
    <cellStyle name="Normal 4 4 3" xfId="792" xr:uid="{00000000-0005-0000-0000-0000D2050000}"/>
    <cellStyle name="Normal 4 4 3 2" xfId="793" xr:uid="{00000000-0005-0000-0000-0000D3050000}"/>
    <cellStyle name="Normal 4 4 3 2 2" xfId="1394" xr:uid="{00000000-0005-0000-0000-0000D4050000}"/>
    <cellStyle name="Normal 4 4 3 2 2 2" xfId="2019" xr:uid="{00000000-0005-0000-0000-0000D5050000}"/>
    <cellStyle name="Normal 4 4 3 2 3" xfId="2020" xr:uid="{00000000-0005-0000-0000-0000D6050000}"/>
    <cellStyle name="Normal 4 4 3 3" xfId="1395" xr:uid="{00000000-0005-0000-0000-0000D7050000}"/>
    <cellStyle name="Normal 4 4 3 3 2" xfId="2021" xr:uid="{00000000-0005-0000-0000-0000D8050000}"/>
    <cellStyle name="Normal 4 4 3 4" xfId="2022" xr:uid="{00000000-0005-0000-0000-0000D9050000}"/>
    <cellStyle name="Normal 4 4 4" xfId="794" xr:uid="{00000000-0005-0000-0000-0000DA050000}"/>
    <cellStyle name="Normal 4 4 4 2" xfId="1396" xr:uid="{00000000-0005-0000-0000-0000DB050000}"/>
    <cellStyle name="Normal 4 4 4 2 2" xfId="2023" xr:uid="{00000000-0005-0000-0000-0000DC050000}"/>
    <cellStyle name="Normal 4 4 4 3" xfId="2024" xr:uid="{00000000-0005-0000-0000-0000DD050000}"/>
    <cellStyle name="Normal 4 4 5" xfId="1397" xr:uid="{00000000-0005-0000-0000-0000DE050000}"/>
    <cellStyle name="Normal 4 4 5 2" xfId="2025" xr:uid="{00000000-0005-0000-0000-0000DF050000}"/>
    <cellStyle name="Normal 4 4 6" xfId="2026" xr:uid="{00000000-0005-0000-0000-0000E0050000}"/>
    <cellStyle name="Normal 4 5" xfId="457" xr:uid="{00000000-0005-0000-0000-0000E1050000}"/>
    <cellStyle name="Normal 4 5 2" xfId="795" xr:uid="{00000000-0005-0000-0000-0000E2050000}"/>
    <cellStyle name="Normal 4 5 2 2" xfId="796" xr:uid="{00000000-0005-0000-0000-0000E3050000}"/>
    <cellStyle name="Normal 4 5 2 2 2" xfId="797" xr:uid="{00000000-0005-0000-0000-0000E4050000}"/>
    <cellStyle name="Normal 4 5 2 2 2 2" xfId="1398" xr:uid="{00000000-0005-0000-0000-0000E5050000}"/>
    <cellStyle name="Normal 4 5 2 2 2 2 2" xfId="2027" xr:uid="{00000000-0005-0000-0000-0000E6050000}"/>
    <cellStyle name="Normal 4 5 2 2 2 3" xfId="2028" xr:uid="{00000000-0005-0000-0000-0000E7050000}"/>
    <cellStyle name="Normal 4 5 2 2 3" xfId="1399" xr:uid="{00000000-0005-0000-0000-0000E8050000}"/>
    <cellStyle name="Normal 4 5 2 2 3 2" xfId="2029" xr:uid="{00000000-0005-0000-0000-0000E9050000}"/>
    <cellStyle name="Normal 4 5 2 2 4" xfId="2030" xr:uid="{00000000-0005-0000-0000-0000EA050000}"/>
    <cellStyle name="Normal 4 5 2 3" xfId="798" xr:uid="{00000000-0005-0000-0000-0000EB050000}"/>
    <cellStyle name="Normal 4 5 2 3 2" xfId="1400" xr:uid="{00000000-0005-0000-0000-0000EC050000}"/>
    <cellStyle name="Normal 4 5 2 3 2 2" xfId="2031" xr:uid="{00000000-0005-0000-0000-0000ED050000}"/>
    <cellStyle name="Normal 4 5 2 3 3" xfId="2032" xr:uid="{00000000-0005-0000-0000-0000EE050000}"/>
    <cellStyle name="Normal 4 5 2 4" xfId="1401" xr:uid="{00000000-0005-0000-0000-0000EF050000}"/>
    <cellStyle name="Normal 4 5 2 4 2" xfId="2033" xr:uid="{00000000-0005-0000-0000-0000F0050000}"/>
    <cellStyle name="Normal 4 5 2 5" xfId="2034" xr:uid="{00000000-0005-0000-0000-0000F1050000}"/>
    <cellStyle name="Normal 4 5 3" xfId="799" xr:uid="{00000000-0005-0000-0000-0000F2050000}"/>
    <cellStyle name="Normal 4 5 3 2" xfId="800" xr:uid="{00000000-0005-0000-0000-0000F3050000}"/>
    <cellStyle name="Normal 4 5 3 2 2" xfId="1402" xr:uid="{00000000-0005-0000-0000-0000F4050000}"/>
    <cellStyle name="Normal 4 5 3 2 2 2" xfId="2035" xr:uid="{00000000-0005-0000-0000-0000F5050000}"/>
    <cellStyle name="Normal 4 5 3 2 3" xfId="2036" xr:uid="{00000000-0005-0000-0000-0000F6050000}"/>
    <cellStyle name="Normal 4 5 3 3" xfId="1403" xr:uid="{00000000-0005-0000-0000-0000F7050000}"/>
    <cellStyle name="Normal 4 5 3 3 2" xfId="2037" xr:uid="{00000000-0005-0000-0000-0000F8050000}"/>
    <cellStyle name="Normal 4 5 3 4" xfId="2038" xr:uid="{00000000-0005-0000-0000-0000F9050000}"/>
    <cellStyle name="Normal 4 5 4" xfId="801" xr:uid="{00000000-0005-0000-0000-0000FA050000}"/>
    <cellStyle name="Normal 4 5 4 2" xfId="1404" xr:uid="{00000000-0005-0000-0000-0000FB050000}"/>
    <cellStyle name="Normal 4 5 4 2 2" xfId="2039" xr:uid="{00000000-0005-0000-0000-0000FC050000}"/>
    <cellStyle name="Normal 4 5 4 3" xfId="2040" xr:uid="{00000000-0005-0000-0000-0000FD050000}"/>
    <cellStyle name="Normal 4 5 5" xfId="1405" xr:uid="{00000000-0005-0000-0000-0000FE050000}"/>
    <cellStyle name="Normal 4 5 5 2" xfId="2041" xr:uid="{00000000-0005-0000-0000-0000FF050000}"/>
    <cellStyle name="Normal 4 5 6" xfId="2042" xr:uid="{00000000-0005-0000-0000-000000060000}"/>
    <cellStyle name="Normal 4 6" xfId="458" xr:uid="{00000000-0005-0000-0000-000001060000}"/>
    <cellStyle name="Normal 4 6 2" xfId="802" xr:uid="{00000000-0005-0000-0000-000002060000}"/>
    <cellStyle name="Normal 4 6 2 2" xfId="803" xr:uid="{00000000-0005-0000-0000-000003060000}"/>
    <cellStyle name="Normal 4 6 2 2 2" xfId="804" xr:uid="{00000000-0005-0000-0000-000004060000}"/>
    <cellStyle name="Normal 4 6 2 2 2 2" xfId="1406" xr:uid="{00000000-0005-0000-0000-000005060000}"/>
    <cellStyle name="Normal 4 6 2 2 2 2 2" xfId="2043" xr:uid="{00000000-0005-0000-0000-000006060000}"/>
    <cellStyle name="Normal 4 6 2 2 2 3" xfId="2044" xr:uid="{00000000-0005-0000-0000-000007060000}"/>
    <cellStyle name="Normal 4 6 2 2 3" xfId="1407" xr:uid="{00000000-0005-0000-0000-000008060000}"/>
    <cellStyle name="Normal 4 6 2 2 3 2" xfId="2045" xr:uid="{00000000-0005-0000-0000-000009060000}"/>
    <cellStyle name="Normal 4 6 2 2 4" xfId="2046" xr:uid="{00000000-0005-0000-0000-00000A060000}"/>
    <cellStyle name="Normal 4 6 2 3" xfId="805" xr:uid="{00000000-0005-0000-0000-00000B060000}"/>
    <cellStyle name="Normal 4 6 2 3 2" xfId="1408" xr:uid="{00000000-0005-0000-0000-00000C060000}"/>
    <cellStyle name="Normal 4 6 2 3 2 2" xfId="2047" xr:uid="{00000000-0005-0000-0000-00000D060000}"/>
    <cellStyle name="Normal 4 6 2 3 3" xfId="2048" xr:uid="{00000000-0005-0000-0000-00000E060000}"/>
    <cellStyle name="Normal 4 6 2 4" xfId="1409" xr:uid="{00000000-0005-0000-0000-00000F060000}"/>
    <cellStyle name="Normal 4 6 2 4 2" xfId="2049" xr:uid="{00000000-0005-0000-0000-000010060000}"/>
    <cellStyle name="Normal 4 6 2 5" xfId="2050" xr:uid="{00000000-0005-0000-0000-000011060000}"/>
    <cellStyle name="Normal 4 6 3" xfId="806" xr:uid="{00000000-0005-0000-0000-000012060000}"/>
    <cellStyle name="Normal 4 6 3 2" xfId="807" xr:uid="{00000000-0005-0000-0000-000013060000}"/>
    <cellStyle name="Normal 4 6 3 2 2" xfId="1410" xr:uid="{00000000-0005-0000-0000-000014060000}"/>
    <cellStyle name="Normal 4 6 3 2 2 2" xfId="2051" xr:uid="{00000000-0005-0000-0000-000015060000}"/>
    <cellStyle name="Normal 4 6 3 2 3" xfId="2052" xr:uid="{00000000-0005-0000-0000-000016060000}"/>
    <cellStyle name="Normal 4 6 3 3" xfId="1411" xr:uid="{00000000-0005-0000-0000-000017060000}"/>
    <cellStyle name="Normal 4 6 3 3 2" xfId="2053" xr:uid="{00000000-0005-0000-0000-000018060000}"/>
    <cellStyle name="Normal 4 6 3 4" xfId="2054" xr:uid="{00000000-0005-0000-0000-000019060000}"/>
    <cellStyle name="Normal 4 6 4" xfId="808" xr:uid="{00000000-0005-0000-0000-00001A060000}"/>
    <cellStyle name="Normal 4 6 4 2" xfId="1412" xr:uid="{00000000-0005-0000-0000-00001B060000}"/>
    <cellStyle name="Normal 4 6 4 2 2" xfId="2055" xr:uid="{00000000-0005-0000-0000-00001C060000}"/>
    <cellStyle name="Normal 4 6 4 3" xfId="2056" xr:uid="{00000000-0005-0000-0000-00001D060000}"/>
    <cellStyle name="Normal 4 6 5" xfId="1413" xr:uid="{00000000-0005-0000-0000-00001E060000}"/>
    <cellStyle name="Normal 4 6 5 2" xfId="2057" xr:uid="{00000000-0005-0000-0000-00001F060000}"/>
    <cellStyle name="Normal 4 6 6" xfId="2058" xr:uid="{00000000-0005-0000-0000-000020060000}"/>
    <cellStyle name="Normal 4 7" xfId="809" xr:uid="{00000000-0005-0000-0000-000021060000}"/>
    <cellStyle name="Normal 4 7 2" xfId="810" xr:uid="{00000000-0005-0000-0000-000022060000}"/>
    <cellStyle name="Normal 4 7 2 2" xfId="811" xr:uid="{00000000-0005-0000-0000-000023060000}"/>
    <cellStyle name="Normal 4 7 2 2 2" xfId="812" xr:uid="{00000000-0005-0000-0000-000024060000}"/>
    <cellStyle name="Normal 4 7 2 2 2 2" xfId="1414" xr:uid="{00000000-0005-0000-0000-000025060000}"/>
    <cellStyle name="Normal 4 7 2 2 2 2 2" xfId="2059" xr:uid="{00000000-0005-0000-0000-000026060000}"/>
    <cellStyle name="Normal 4 7 2 2 2 3" xfId="2060" xr:uid="{00000000-0005-0000-0000-000027060000}"/>
    <cellStyle name="Normal 4 7 2 2 3" xfId="1415" xr:uid="{00000000-0005-0000-0000-000028060000}"/>
    <cellStyle name="Normal 4 7 2 2 3 2" xfId="2061" xr:uid="{00000000-0005-0000-0000-000029060000}"/>
    <cellStyle name="Normal 4 7 2 2 4" xfId="2062" xr:uid="{00000000-0005-0000-0000-00002A060000}"/>
    <cellStyle name="Normal 4 7 2 3" xfId="813" xr:uid="{00000000-0005-0000-0000-00002B060000}"/>
    <cellStyle name="Normal 4 7 2 3 2" xfId="1416" xr:uid="{00000000-0005-0000-0000-00002C060000}"/>
    <cellStyle name="Normal 4 7 2 3 2 2" xfId="2063" xr:uid="{00000000-0005-0000-0000-00002D060000}"/>
    <cellStyle name="Normal 4 7 2 3 3" xfId="2064" xr:uid="{00000000-0005-0000-0000-00002E060000}"/>
    <cellStyle name="Normal 4 7 2 4" xfId="1417" xr:uid="{00000000-0005-0000-0000-00002F060000}"/>
    <cellStyle name="Normal 4 7 2 4 2" xfId="2065" xr:uid="{00000000-0005-0000-0000-000030060000}"/>
    <cellStyle name="Normal 4 7 2 5" xfId="2066" xr:uid="{00000000-0005-0000-0000-000031060000}"/>
    <cellStyle name="Normal 4 7 3" xfId="814" xr:uid="{00000000-0005-0000-0000-000032060000}"/>
    <cellStyle name="Normal 4 7 3 2" xfId="815" xr:uid="{00000000-0005-0000-0000-000033060000}"/>
    <cellStyle name="Normal 4 7 3 2 2" xfId="1418" xr:uid="{00000000-0005-0000-0000-000034060000}"/>
    <cellStyle name="Normal 4 7 3 2 2 2" xfId="2067" xr:uid="{00000000-0005-0000-0000-000035060000}"/>
    <cellStyle name="Normal 4 7 3 2 3" xfId="2068" xr:uid="{00000000-0005-0000-0000-000036060000}"/>
    <cellStyle name="Normal 4 7 3 3" xfId="1419" xr:uid="{00000000-0005-0000-0000-000037060000}"/>
    <cellStyle name="Normal 4 7 3 3 2" xfId="2069" xr:uid="{00000000-0005-0000-0000-000038060000}"/>
    <cellStyle name="Normal 4 7 3 4" xfId="2070" xr:uid="{00000000-0005-0000-0000-000039060000}"/>
    <cellStyle name="Normal 4 7 4" xfId="816" xr:uid="{00000000-0005-0000-0000-00003A060000}"/>
    <cellStyle name="Normal 4 7 4 2" xfId="1420" xr:uid="{00000000-0005-0000-0000-00003B060000}"/>
    <cellStyle name="Normal 4 7 4 2 2" xfId="2071" xr:uid="{00000000-0005-0000-0000-00003C060000}"/>
    <cellStyle name="Normal 4 7 4 3" xfId="2072" xr:uid="{00000000-0005-0000-0000-00003D060000}"/>
    <cellStyle name="Normal 4 7 5" xfId="1421" xr:uid="{00000000-0005-0000-0000-00003E060000}"/>
    <cellStyle name="Normal 4 7 5 2" xfId="2073" xr:uid="{00000000-0005-0000-0000-00003F060000}"/>
    <cellStyle name="Normal 4 7 6" xfId="2074" xr:uid="{00000000-0005-0000-0000-000040060000}"/>
    <cellStyle name="Normal 4 8" xfId="817" xr:uid="{00000000-0005-0000-0000-000041060000}"/>
    <cellStyle name="Normal 4 8 2" xfId="818" xr:uid="{00000000-0005-0000-0000-000042060000}"/>
    <cellStyle name="Normal 4 8 2 2" xfId="819" xr:uid="{00000000-0005-0000-0000-000043060000}"/>
    <cellStyle name="Normal 4 8 2 2 2" xfId="1422" xr:uid="{00000000-0005-0000-0000-000044060000}"/>
    <cellStyle name="Normal 4 8 2 2 2 2" xfId="2075" xr:uid="{00000000-0005-0000-0000-000045060000}"/>
    <cellStyle name="Normal 4 8 2 2 3" xfId="2076" xr:uid="{00000000-0005-0000-0000-000046060000}"/>
    <cellStyle name="Normal 4 8 2 3" xfId="1423" xr:uid="{00000000-0005-0000-0000-000047060000}"/>
    <cellStyle name="Normal 4 8 2 3 2" xfId="2077" xr:uid="{00000000-0005-0000-0000-000048060000}"/>
    <cellStyle name="Normal 4 8 2 4" xfId="2078" xr:uid="{00000000-0005-0000-0000-000049060000}"/>
    <cellStyle name="Normal 4 8 3" xfId="820" xr:uid="{00000000-0005-0000-0000-00004A060000}"/>
    <cellStyle name="Normal 4 8 3 2" xfId="1424" xr:uid="{00000000-0005-0000-0000-00004B060000}"/>
    <cellStyle name="Normal 4 8 3 2 2" xfId="2079" xr:uid="{00000000-0005-0000-0000-00004C060000}"/>
    <cellStyle name="Normal 4 8 3 3" xfId="2080" xr:uid="{00000000-0005-0000-0000-00004D060000}"/>
    <cellStyle name="Normal 4 8 4" xfId="1425" xr:uid="{00000000-0005-0000-0000-00004E060000}"/>
    <cellStyle name="Normal 4 8 4 2" xfId="2081" xr:uid="{00000000-0005-0000-0000-00004F060000}"/>
    <cellStyle name="Normal 4 8 5" xfId="2082" xr:uid="{00000000-0005-0000-0000-000050060000}"/>
    <cellStyle name="Normal 4 9" xfId="821" xr:uid="{00000000-0005-0000-0000-000051060000}"/>
    <cellStyle name="Normal 4 9 2" xfId="822" xr:uid="{00000000-0005-0000-0000-000052060000}"/>
    <cellStyle name="Normal 4 9 2 2" xfId="823" xr:uid="{00000000-0005-0000-0000-000053060000}"/>
    <cellStyle name="Normal 4 9 2 2 2" xfId="824" xr:uid="{00000000-0005-0000-0000-000054060000}"/>
    <cellStyle name="Normal 4 9 2 2 2 2" xfId="2083" xr:uid="{00000000-0005-0000-0000-000055060000}"/>
    <cellStyle name="Normal 4 9 2 2 3" xfId="1426" xr:uid="{00000000-0005-0000-0000-000056060000}"/>
    <cellStyle name="Normal 4 9 2 2 3 2" xfId="1427" xr:uid="{00000000-0005-0000-0000-000057060000}"/>
    <cellStyle name="Normal 4 9 2 2 3 2 2" xfId="1428" xr:uid="{00000000-0005-0000-0000-000058060000}"/>
    <cellStyle name="Normal 4 9 2 2 3 2 2 2" xfId="1429" xr:uid="{00000000-0005-0000-0000-000059060000}"/>
    <cellStyle name="Normal 4 9 2 2 3 2 2 2 2" xfId="1430" xr:uid="{00000000-0005-0000-0000-00005A060000}"/>
    <cellStyle name="Normal 4 9 2 2 3 2 2 2 2 2" xfId="1431" xr:uid="{00000000-0005-0000-0000-00005B060000}"/>
    <cellStyle name="Normal 4 9 2 2 3 2 2 2 2 2 2" xfId="1432" xr:uid="{00000000-0005-0000-0000-00005C060000}"/>
    <cellStyle name="Normal 4 9 2 2 3 2 2 2 2 2 2 2" xfId="1433" xr:uid="{00000000-0005-0000-0000-00005D060000}"/>
    <cellStyle name="Normal 4 9 2 2 3 2 2 2 2 2 2 2 2" xfId="1434" xr:uid="{00000000-0005-0000-0000-00005E060000}"/>
    <cellStyle name="Normal 4 9 2 2 3 2 2 2 2 2 2 2 2 2" xfId="1435" xr:uid="{00000000-0005-0000-0000-00005F060000}"/>
    <cellStyle name="Normal 4 9 2 2 3 2 2 2 2 2 2 2 2 2 2" xfId="1436" xr:uid="{00000000-0005-0000-0000-000060060000}"/>
    <cellStyle name="Normal 4 9 2 2 3 2 2 2 2 2 2 2 2 2 2 2" xfId="1437" xr:uid="{00000000-0005-0000-0000-000061060000}"/>
    <cellStyle name="Normal 4 9 2 2 3 2 2 2 2 2 2 2 2 2 2 2 2" xfId="2084" xr:uid="{00000000-0005-0000-0000-000062060000}"/>
    <cellStyle name="Normal 4 9 2 2 3 2 2 2 2 2 2 2 2 2 2 3" xfId="1438" xr:uid="{00000000-0005-0000-0000-000063060000}"/>
    <cellStyle name="Normal 4 9 2 2 3 2 2 2 2 2 2 2 2 2 2 3 2" xfId="1439" xr:uid="{00000000-0005-0000-0000-000064060000}"/>
    <cellStyle name="Normal 4 9 2 2 3 2 2 2 2 2 2 2 2 2 2 3 2 2" xfId="2085" xr:uid="{00000000-0005-0000-0000-000065060000}"/>
    <cellStyle name="Normal 4 9 2 2 3 2 2 2 2 2 2 2 2 2 2 3 3" xfId="2086" xr:uid="{00000000-0005-0000-0000-000066060000}"/>
    <cellStyle name="Normal 4 9 2 2 3 2 2 2 2 2 2 2 2 2 2 4" xfId="2087" xr:uid="{00000000-0005-0000-0000-000067060000}"/>
    <cellStyle name="Normal 4 9 2 2 3 2 2 2 2 2 2 2 2 2 3" xfId="2088" xr:uid="{00000000-0005-0000-0000-000068060000}"/>
    <cellStyle name="Normal 4 9 2 2 3 2 2 2 2 2 2 2 2 3" xfId="2089" xr:uid="{00000000-0005-0000-0000-000069060000}"/>
    <cellStyle name="Normal 4 9 2 2 3 2 2 2 2 2 2 2 3" xfId="2090" xr:uid="{00000000-0005-0000-0000-00006A060000}"/>
    <cellStyle name="Normal 4 9 2 2 3 2 2 2 2 2 2 3" xfId="2091" xr:uid="{00000000-0005-0000-0000-00006B060000}"/>
    <cellStyle name="Normal 4 9 2 2 3 2 2 2 2 2 3" xfId="2092" xr:uid="{00000000-0005-0000-0000-00006C060000}"/>
    <cellStyle name="Normal 4 9 2 2 3 2 2 2 2 3" xfId="2093" xr:uid="{00000000-0005-0000-0000-00006D060000}"/>
    <cellStyle name="Normal 4 9 2 2 3 2 2 2 3" xfId="2094" xr:uid="{00000000-0005-0000-0000-00006E060000}"/>
    <cellStyle name="Normal 4 9 2 2 3 2 2 3" xfId="2095" xr:uid="{00000000-0005-0000-0000-00006F060000}"/>
    <cellStyle name="Normal 4 9 2 2 3 2 3" xfId="2096" xr:uid="{00000000-0005-0000-0000-000070060000}"/>
    <cellStyle name="Normal 4 9 2 2 3 3" xfId="2097" xr:uid="{00000000-0005-0000-0000-000071060000}"/>
    <cellStyle name="Normal 4 9 2 2 4" xfId="2098" xr:uid="{00000000-0005-0000-0000-000072060000}"/>
    <cellStyle name="Normal 4 9 2 3" xfId="1440" xr:uid="{00000000-0005-0000-0000-000073060000}"/>
    <cellStyle name="Normal 4 9 2 3 2" xfId="2099" xr:uid="{00000000-0005-0000-0000-000074060000}"/>
    <cellStyle name="Normal 4 9 2 4" xfId="2100" xr:uid="{00000000-0005-0000-0000-000075060000}"/>
    <cellStyle name="Normal 4 9 3" xfId="825" xr:uid="{00000000-0005-0000-0000-000076060000}"/>
    <cellStyle name="Normal 4 9 3 2" xfId="1441" xr:uid="{00000000-0005-0000-0000-000077060000}"/>
    <cellStyle name="Normal 4 9 4" xfId="2101" xr:uid="{00000000-0005-0000-0000-000078060000}"/>
    <cellStyle name="Normal 40" xfId="459" xr:uid="{00000000-0005-0000-0000-000079060000}"/>
    <cellStyle name="Normal 40 2" xfId="569" xr:uid="{00000000-0005-0000-0000-00007A060000}"/>
    <cellStyle name="Normal 40 2 2" xfId="1442" xr:uid="{00000000-0005-0000-0000-00007B060000}"/>
    <cellStyle name="Normal 40 3" xfId="2102" xr:uid="{00000000-0005-0000-0000-00007C060000}"/>
    <cellStyle name="Normal 41" xfId="460" xr:uid="{00000000-0005-0000-0000-00007D060000}"/>
    <cellStyle name="Normal 41 2" xfId="461" xr:uid="{00000000-0005-0000-0000-00007E060000}"/>
    <cellStyle name="Normal 41 2 2" xfId="2103" xr:uid="{00000000-0005-0000-0000-00007F060000}"/>
    <cellStyle name="Normal 41 3" xfId="2104" xr:uid="{00000000-0005-0000-0000-000080060000}"/>
    <cellStyle name="Normal 42" xfId="462" xr:uid="{00000000-0005-0000-0000-000081060000}"/>
    <cellStyle name="Normal 42 2" xfId="826" xr:uid="{00000000-0005-0000-0000-000082060000}"/>
    <cellStyle name="Normal 42 2 2" xfId="2105" xr:uid="{00000000-0005-0000-0000-000083060000}"/>
    <cellStyle name="Normal 42 3" xfId="2106" xr:uid="{00000000-0005-0000-0000-000084060000}"/>
    <cellStyle name="Normal 43" xfId="549" xr:uid="{00000000-0005-0000-0000-000085060000}"/>
    <cellStyle name="Normal 43 2" xfId="571" xr:uid="{00000000-0005-0000-0000-000086060000}"/>
    <cellStyle name="Normal 43 2 2" xfId="1443" xr:uid="{00000000-0005-0000-0000-000087060000}"/>
    <cellStyle name="Normal 43 3" xfId="827" xr:uid="{00000000-0005-0000-0000-000088060000}"/>
    <cellStyle name="Normal 44" xfId="572" xr:uid="{00000000-0005-0000-0000-000089060000}"/>
    <cellStyle name="Normal 44 2" xfId="828" xr:uid="{00000000-0005-0000-0000-00008A060000}"/>
    <cellStyle name="Normal 44 2 2" xfId="2107" xr:uid="{00000000-0005-0000-0000-00008B060000}"/>
    <cellStyle name="Normal 44 3" xfId="2108" xr:uid="{00000000-0005-0000-0000-00008C060000}"/>
    <cellStyle name="Normal 45" xfId="574" xr:uid="{00000000-0005-0000-0000-00008D060000}"/>
    <cellStyle name="Normal 45 2" xfId="598" xr:uid="{00000000-0005-0000-0000-00008E060000}"/>
    <cellStyle name="Normal 45 2 2" xfId="1444" xr:uid="{00000000-0005-0000-0000-00008F060000}"/>
    <cellStyle name="Normal 45 3" xfId="1445" xr:uid="{00000000-0005-0000-0000-000090060000}"/>
    <cellStyle name="Normal 46" xfId="575" xr:uid="{00000000-0005-0000-0000-000091060000}"/>
    <cellStyle name="Normal 46 2" xfId="829" xr:uid="{00000000-0005-0000-0000-000092060000}"/>
    <cellStyle name="Normal 46 2 2" xfId="1446" xr:uid="{00000000-0005-0000-0000-000093060000}"/>
    <cellStyle name="Normal 46 3" xfId="2109" xr:uid="{00000000-0005-0000-0000-000094060000}"/>
    <cellStyle name="Normal 47" xfId="576" xr:uid="{00000000-0005-0000-0000-000095060000}"/>
    <cellStyle name="Normal 47 2" xfId="830" xr:uid="{00000000-0005-0000-0000-000096060000}"/>
    <cellStyle name="Normal 47 2 2" xfId="1447" xr:uid="{00000000-0005-0000-0000-000097060000}"/>
    <cellStyle name="Normal 47 3" xfId="2110" xr:uid="{00000000-0005-0000-0000-000098060000}"/>
    <cellStyle name="Normal 48" xfId="578" xr:uid="{00000000-0005-0000-0000-000099060000}"/>
    <cellStyle name="Normal 48 2" xfId="831" xr:uid="{00000000-0005-0000-0000-00009A060000}"/>
    <cellStyle name="Normal 48 2 2" xfId="2111" xr:uid="{00000000-0005-0000-0000-00009B060000}"/>
    <cellStyle name="Normal 48 3" xfId="2112" xr:uid="{00000000-0005-0000-0000-00009C060000}"/>
    <cellStyle name="Normal 49" xfId="579" xr:uid="{00000000-0005-0000-0000-00009D060000}"/>
    <cellStyle name="Normal 49 2" xfId="832" xr:uid="{00000000-0005-0000-0000-00009E060000}"/>
    <cellStyle name="Normal 49 2 2" xfId="2113" xr:uid="{00000000-0005-0000-0000-00009F060000}"/>
    <cellStyle name="Normal 49 3" xfId="2114" xr:uid="{00000000-0005-0000-0000-0000A0060000}"/>
    <cellStyle name="Normal 5" xfId="463" xr:uid="{00000000-0005-0000-0000-0000A1060000}"/>
    <cellStyle name="Normal 5 10" xfId="464" xr:uid="{00000000-0005-0000-0000-0000A2060000}"/>
    <cellStyle name="Normal 5 10 2" xfId="1449" xr:uid="{00000000-0005-0000-0000-0000A3060000}"/>
    <cellStyle name="Normal 5 10 2 2" xfId="2115" xr:uid="{00000000-0005-0000-0000-0000A4060000}"/>
    <cellStyle name="Normal 5 10 3" xfId="1448" xr:uid="{00000000-0005-0000-0000-0000A5060000}"/>
    <cellStyle name="Normal 5 11" xfId="1450" xr:uid="{00000000-0005-0000-0000-0000A6060000}"/>
    <cellStyle name="Normal 5 11 2" xfId="2116" xr:uid="{00000000-0005-0000-0000-0000A7060000}"/>
    <cellStyle name="Normal 5 12" xfId="2117" xr:uid="{00000000-0005-0000-0000-0000A8060000}"/>
    <cellStyle name="Normal 5 13" xfId="2602" xr:uid="{00000000-0005-0000-0000-0000A9060000}"/>
    <cellStyle name="Normal 5 2" xfId="465" xr:uid="{00000000-0005-0000-0000-0000AA060000}"/>
    <cellStyle name="Normal 5 2 2" xfId="466" xr:uid="{00000000-0005-0000-0000-0000AB060000}"/>
    <cellStyle name="Normal 5 2 2 2" xfId="467" xr:uid="{00000000-0005-0000-0000-0000AC060000}"/>
    <cellStyle name="Normal 5 2 3" xfId="468" xr:uid="{00000000-0005-0000-0000-0000AD060000}"/>
    <cellStyle name="Normal 5 2 3 2" xfId="2118" xr:uid="{00000000-0005-0000-0000-0000AE060000}"/>
    <cellStyle name="Normal 5 3" xfId="469" xr:uid="{00000000-0005-0000-0000-0000AF060000}"/>
    <cellStyle name="Normal 5 3 2" xfId="470" xr:uid="{00000000-0005-0000-0000-0000B0060000}"/>
    <cellStyle name="Normal 5 3 2 2" xfId="2119" xr:uid="{00000000-0005-0000-0000-0000B1060000}"/>
    <cellStyle name="Normal 5 3 3" xfId="1451" xr:uid="{00000000-0005-0000-0000-0000B2060000}"/>
    <cellStyle name="Normal 5 4" xfId="471" xr:uid="{00000000-0005-0000-0000-0000B3060000}"/>
    <cellStyle name="Normal 5 4 2" xfId="472" xr:uid="{00000000-0005-0000-0000-0000B4060000}"/>
    <cellStyle name="Normal 5 5" xfId="473" xr:uid="{00000000-0005-0000-0000-0000B5060000}"/>
    <cellStyle name="Normal 5 5 2" xfId="1452" xr:uid="{00000000-0005-0000-0000-0000B6060000}"/>
    <cellStyle name="Normal 5 6" xfId="474" xr:uid="{00000000-0005-0000-0000-0000B7060000}"/>
    <cellStyle name="Normal 5 6 2" xfId="1453" xr:uid="{00000000-0005-0000-0000-0000B8060000}"/>
    <cellStyle name="Normal 5 7" xfId="475" xr:uid="{00000000-0005-0000-0000-0000B9060000}"/>
    <cellStyle name="Normal 5 7 2" xfId="833" xr:uid="{00000000-0005-0000-0000-0000BA060000}"/>
    <cellStyle name="Normal 5 7 2 2" xfId="2120" xr:uid="{00000000-0005-0000-0000-0000BB060000}"/>
    <cellStyle name="Normal 5 7 3" xfId="2121" xr:uid="{00000000-0005-0000-0000-0000BC060000}"/>
    <cellStyle name="Normal 5 8" xfId="476" xr:uid="{00000000-0005-0000-0000-0000BD060000}"/>
    <cellStyle name="Normal 5 8 2" xfId="834" xr:uid="{00000000-0005-0000-0000-0000BE060000}"/>
    <cellStyle name="Normal 5 8 2 2" xfId="835" xr:uid="{00000000-0005-0000-0000-0000BF060000}"/>
    <cellStyle name="Normal 5 8 2 2 2" xfId="1454" xr:uid="{00000000-0005-0000-0000-0000C0060000}"/>
    <cellStyle name="Normal 5 8 2 2 2 2" xfId="2122" xr:uid="{00000000-0005-0000-0000-0000C1060000}"/>
    <cellStyle name="Normal 5 8 2 2 3" xfId="2123" xr:uid="{00000000-0005-0000-0000-0000C2060000}"/>
    <cellStyle name="Normal 5 8 2 3" xfId="1455" xr:uid="{00000000-0005-0000-0000-0000C3060000}"/>
    <cellStyle name="Normal 5 8 2 3 2" xfId="2124" xr:uid="{00000000-0005-0000-0000-0000C4060000}"/>
    <cellStyle name="Normal 5 8 2 4" xfId="2125" xr:uid="{00000000-0005-0000-0000-0000C5060000}"/>
    <cellStyle name="Normal 5 8 3" xfId="836" xr:uid="{00000000-0005-0000-0000-0000C6060000}"/>
    <cellStyle name="Normal 5 8 3 2" xfId="1456" xr:uid="{00000000-0005-0000-0000-0000C7060000}"/>
    <cellStyle name="Normal 5 8 3 2 2" xfId="2126" xr:uid="{00000000-0005-0000-0000-0000C8060000}"/>
    <cellStyle name="Normal 5 8 3 3" xfId="2127" xr:uid="{00000000-0005-0000-0000-0000C9060000}"/>
    <cellStyle name="Normal 5 8 4" xfId="1457" xr:uid="{00000000-0005-0000-0000-0000CA060000}"/>
    <cellStyle name="Normal 5 8 4 2" xfId="2128" xr:uid="{00000000-0005-0000-0000-0000CB060000}"/>
    <cellStyle name="Normal 5 8 5" xfId="2129" xr:uid="{00000000-0005-0000-0000-0000CC060000}"/>
    <cellStyle name="Normal 5 9" xfId="477" xr:uid="{00000000-0005-0000-0000-0000CD060000}"/>
    <cellStyle name="Normal 5 9 2" xfId="837" xr:uid="{00000000-0005-0000-0000-0000CE060000}"/>
    <cellStyle name="Normal 5 9 2 2" xfId="1458" xr:uid="{00000000-0005-0000-0000-0000CF060000}"/>
    <cellStyle name="Normal 5 9 2 2 2" xfId="2130" xr:uid="{00000000-0005-0000-0000-0000D0060000}"/>
    <cellStyle name="Normal 5 9 2 3" xfId="2131" xr:uid="{00000000-0005-0000-0000-0000D1060000}"/>
    <cellStyle name="Normal 5 9 3" xfId="1459" xr:uid="{00000000-0005-0000-0000-0000D2060000}"/>
    <cellStyle name="Normal 5 9 3 2" xfId="2132" xr:uid="{00000000-0005-0000-0000-0000D3060000}"/>
    <cellStyle name="Normal 5 9 4" xfId="2133" xr:uid="{00000000-0005-0000-0000-0000D4060000}"/>
    <cellStyle name="Normal 50" xfId="580" xr:uid="{00000000-0005-0000-0000-0000D5060000}"/>
    <cellStyle name="Normal 50 2" xfId="1034" xr:uid="{00000000-0005-0000-0000-0000D6060000}"/>
    <cellStyle name="Normal 50 2 2" xfId="2603" xr:uid="{00000000-0005-0000-0000-0000D7060000}"/>
    <cellStyle name="Normal 50 3" xfId="1460" xr:uid="{00000000-0005-0000-0000-0000D8060000}"/>
    <cellStyle name="Normal 51" xfId="582" xr:uid="{00000000-0005-0000-0000-0000D9060000}"/>
    <cellStyle name="Normal 51 2" xfId="604" xr:uid="{00000000-0005-0000-0000-0000DA060000}"/>
    <cellStyle name="Normal 51 2 2" xfId="2134" xr:uid="{00000000-0005-0000-0000-0000DB060000}"/>
    <cellStyle name="Normal 51 3" xfId="1035" xr:uid="{00000000-0005-0000-0000-0000DC060000}"/>
    <cellStyle name="Normal 51 3 2" xfId="2135" xr:uid="{00000000-0005-0000-0000-0000DD060000}"/>
    <cellStyle name="Normal 52" xfId="583" xr:uid="{00000000-0005-0000-0000-0000DE060000}"/>
    <cellStyle name="Normal 52 2" xfId="838" xr:uid="{00000000-0005-0000-0000-0000DF060000}"/>
    <cellStyle name="Normal 52 2 2" xfId="2136" xr:uid="{00000000-0005-0000-0000-0000E0060000}"/>
    <cellStyle name="Normal 52 3" xfId="1036" xr:uid="{00000000-0005-0000-0000-0000E1060000}"/>
    <cellStyle name="Normal 52 3 2" xfId="2137" xr:uid="{00000000-0005-0000-0000-0000E2060000}"/>
    <cellStyle name="Normal 53" xfId="585" xr:uid="{00000000-0005-0000-0000-0000E3060000}"/>
    <cellStyle name="Normal 53 2" xfId="1037" xr:uid="{00000000-0005-0000-0000-0000E4060000}"/>
    <cellStyle name="Normal 53 2 2" xfId="1461" xr:uid="{00000000-0005-0000-0000-0000E5060000}"/>
    <cellStyle name="Normal 53 3" xfId="2138" xr:uid="{00000000-0005-0000-0000-0000E6060000}"/>
    <cellStyle name="Normal 54" xfId="586" xr:uid="{00000000-0005-0000-0000-0000E7060000}"/>
    <cellStyle name="Normal 54 2" xfId="1038" xr:uid="{00000000-0005-0000-0000-0000E8060000}"/>
    <cellStyle name="Normal 54 2 2" xfId="1462" xr:uid="{00000000-0005-0000-0000-0000E9060000}"/>
    <cellStyle name="Normal 54 3" xfId="2139" xr:uid="{00000000-0005-0000-0000-0000EA060000}"/>
    <cellStyle name="Normal 55" xfId="587" xr:uid="{00000000-0005-0000-0000-0000EB060000}"/>
    <cellStyle name="Normal 55 2" xfId="1039" xr:uid="{00000000-0005-0000-0000-0000EC060000}"/>
    <cellStyle name="Normal 55 2 2" xfId="1463" xr:uid="{00000000-0005-0000-0000-0000ED060000}"/>
    <cellStyle name="Normal 55 3" xfId="2140" xr:uid="{00000000-0005-0000-0000-0000EE060000}"/>
    <cellStyle name="Normal 56" xfId="588" xr:uid="{00000000-0005-0000-0000-0000EF060000}"/>
    <cellStyle name="Normal 56 2" xfId="1040" xr:uid="{00000000-0005-0000-0000-0000F0060000}"/>
    <cellStyle name="Normal 56 2 2" xfId="2141" xr:uid="{00000000-0005-0000-0000-0000F1060000}"/>
    <cellStyle name="Normal 56 3" xfId="1464" xr:uid="{00000000-0005-0000-0000-0000F2060000}"/>
    <cellStyle name="Normal 57" xfId="589" xr:uid="{00000000-0005-0000-0000-0000F3060000}"/>
    <cellStyle name="Normal 57 2" xfId="1041" xr:uid="{00000000-0005-0000-0000-0000F4060000}"/>
    <cellStyle name="Normal 57 2 2" xfId="2142" xr:uid="{00000000-0005-0000-0000-0000F5060000}"/>
    <cellStyle name="Normal 57 3" xfId="1465" xr:uid="{00000000-0005-0000-0000-0000F6060000}"/>
    <cellStyle name="Normal 58" xfId="590" xr:uid="{00000000-0005-0000-0000-0000F7060000}"/>
    <cellStyle name="Normal 58 2" xfId="1042" xr:uid="{00000000-0005-0000-0000-0000F8060000}"/>
    <cellStyle name="Normal 58 2 2" xfId="2143" xr:uid="{00000000-0005-0000-0000-0000F9060000}"/>
    <cellStyle name="Normal 58 3" xfId="1466" xr:uid="{00000000-0005-0000-0000-0000FA060000}"/>
    <cellStyle name="Normal 59" xfId="591" xr:uid="{00000000-0005-0000-0000-0000FB060000}"/>
    <cellStyle name="Normal 59 2" xfId="1043" xr:uid="{00000000-0005-0000-0000-0000FC060000}"/>
    <cellStyle name="Normal 59 3" xfId="1467" xr:uid="{00000000-0005-0000-0000-0000FD060000}"/>
    <cellStyle name="Normal 6" xfId="478" xr:uid="{00000000-0005-0000-0000-0000FE060000}"/>
    <cellStyle name="Normal 6 10" xfId="839" xr:uid="{00000000-0005-0000-0000-0000FF060000}"/>
    <cellStyle name="Normal 6 10 2" xfId="1468" xr:uid="{00000000-0005-0000-0000-000000070000}"/>
    <cellStyle name="Normal 6 10 2 2" xfId="2144" xr:uid="{00000000-0005-0000-0000-000001070000}"/>
    <cellStyle name="Normal 6 10 3" xfId="2145" xr:uid="{00000000-0005-0000-0000-000002070000}"/>
    <cellStyle name="Normal 6 11" xfId="840" xr:uid="{00000000-0005-0000-0000-000003070000}"/>
    <cellStyle name="Normal 6 11 2" xfId="2146" xr:uid="{00000000-0005-0000-0000-000004070000}"/>
    <cellStyle name="Normal 6 12" xfId="841" xr:uid="{00000000-0005-0000-0000-000005070000}"/>
    <cellStyle name="Normal 6 12 2" xfId="2147" xr:uid="{00000000-0005-0000-0000-000006070000}"/>
    <cellStyle name="Normal 6 13" xfId="1469" xr:uid="{00000000-0005-0000-0000-000007070000}"/>
    <cellStyle name="Normal 6 13 2" xfId="2148" xr:uid="{00000000-0005-0000-0000-000008070000}"/>
    <cellStyle name="Normal 6 14" xfId="1470" xr:uid="{00000000-0005-0000-0000-000009070000}"/>
    <cellStyle name="Normal 6 14 2" xfId="2149" xr:uid="{00000000-0005-0000-0000-00000A070000}"/>
    <cellStyle name="Normal 6 15" xfId="1471" xr:uid="{00000000-0005-0000-0000-00000B070000}"/>
    <cellStyle name="Normal 6 15 2" xfId="2150" xr:uid="{00000000-0005-0000-0000-00000C070000}"/>
    <cellStyle name="Normal 6 16" xfId="2151" xr:uid="{00000000-0005-0000-0000-00000D070000}"/>
    <cellStyle name="Normal 6 17" xfId="2604" xr:uid="{00000000-0005-0000-0000-00000E070000}"/>
    <cellStyle name="Normal 6 2" xfId="479" xr:uid="{00000000-0005-0000-0000-00000F070000}"/>
    <cellStyle name="Normal 6 2 2" xfId="480" xr:uid="{00000000-0005-0000-0000-000010070000}"/>
    <cellStyle name="Normal 6 2 2 2" xfId="842" xr:uid="{00000000-0005-0000-0000-000011070000}"/>
    <cellStyle name="Normal 6 2 2 2 2" xfId="843" xr:uid="{00000000-0005-0000-0000-000012070000}"/>
    <cellStyle name="Normal 6 2 2 2 2 2" xfId="1472" xr:uid="{00000000-0005-0000-0000-000013070000}"/>
    <cellStyle name="Normal 6 2 2 2 2 2 2" xfId="2152" xr:uid="{00000000-0005-0000-0000-000014070000}"/>
    <cellStyle name="Normal 6 2 2 2 2 3" xfId="2153" xr:uid="{00000000-0005-0000-0000-000015070000}"/>
    <cellStyle name="Normal 6 2 2 2 3" xfId="1473" xr:uid="{00000000-0005-0000-0000-000016070000}"/>
    <cellStyle name="Normal 6 2 2 2 3 2" xfId="2154" xr:uid="{00000000-0005-0000-0000-000017070000}"/>
    <cellStyle name="Normal 6 2 2 2 4" xfId="2155" xr:uid="{00000000-0005-0000-0000-000018070000}"/>
    <cellStyle name="Normal 6 2 2 3" xfId="844" xr:uid="{00000000-0005-0000-0000-000019070000}"/>
    <cellStyle name="Normal 6 2 2 3 2" xfId="1474" xr:uid="{00000000-0005-0000-0000-00001A070000}"/>
    <cellStyle name="Normal 6 2 2 3 2 2" xfId="2156" xr:uid="{00000000-0005-0000-0000-00001B070000}"/>
    <cellStyle name="Normal 6 2 2 3 3" xfId="2157" xr:uid="{00000000-0005-0000-0000-00001C070000}"/>
    <cellStyle name="Normal 6 2 2 4" xfId="1475" xr:uid="{00000000-0005-0000-0000-00001D070000}"/>
    <cellStyle name="Normal 6 2 2 4 2" xfId="2158" xr:uid="{00000000-0005-0000-0000-00001E070000}"/>
    <cellStyle name="Normal 6 2 2 5" xfId="2159" xr:uid="{00000000-0005-0000-0000-00001F070000}"/>
    <cellStyle name="Normal 6 2 3" xfId="845" xr:uid="{00000000-0005-0000-0000-000020070000}"/>
    <cellStyle name="Normal 6 2 3 2" xfId="846" xr:uid="{00000000-0005-0000-0000-000021070000}"/>
    <cellStyle name="Normal 6 2 3 2 2" xfId="1476" xr:uid="{00000000-0005-0000-0000-000022070000}"/>
    <cellStyle name="Normal 6 2 3 2 2 2" xfId="2160" xr:uid="{00000000-0005-0000-0000-000023070000}"/>
    <cellStyle name="Normal 6 2 3 2 3" xfId="2161" xr:uid="{00000000-0005-0000-0000-000024070000}"/>
    <cellStyle name="Normal 6 2 3 3" xfId="1477" xr:uid="{00000000-0005-0000-0000-000025070000}"/>
    <cellStyle name="Normal 6 2 3 3 2" xfId="2162" xr:uid="{00000000-0005-0000-0000-000026070000}"/>
    <cellStyle name="Normal 6 2 3 4" xfId="2163" xr:uid="{00000000-0005-0000-0000-000027070000}"/>
    <cellStyle name="Normal 6 2 4" xfId="847" xr:uid="{00000000-0005-0000-0000-000028070000}"/>
    <cellStyle name="Normal 6 2 4 2" xfId="1478" xr:uid="{00000000-0005-0000-0000-000029070000}"/>
    <cellStyle name="Normal 6 2 4 2 2" xfId="2164" xr:uid="{00000000-0005-0000-0000-00002A070000}"/>
    <cellStyle name="Normal 6 2 4 3" xfId="2165" xr:uid="{00000000-0005-0000-0000-00002B070000}"/>
    <cellStyle name="Normal 6 2 5" xfId="1479" xr:uid="{00000000-0005-0000-0000-00002C070000}"/>
    <cellStyle name="Normal 6 2 5 2" xfId="2166" xr:uid="{00000000-0005-0000-0000-00002D070000}"/>
    <cellStyle name="Normal 6 2 6" xfId="2167" xr:uid="{00000000-0005-0000-0000-00002E070000}"/>
    <cellStyle name="Normal 6 3" xfId="481" xr:uid="{00000000-0005-0000-0000-00002F070000}"/>
    <cellStyle name="Normal 6 3 2" xfId="482" xr:uid="{00000000-0005-0000-0000-000030070000}"/>
    <cellStyle name="Normal 6 3 2 2" xfId="848" xr:uid="{00000000-0005-0000-0000-000031070000}"/>
    <cellStyle name="Normal 6 3 2 2 2" xfId="849" xr:uid="{00000000-0005-0000-0000-000032070000}"/>
    <cellStyle name="Normal 6 3 2 2 2 2" xfId="1480" xr:uid="{00000000-0005-0000-0000-000033070000}"/>
    <cellStyle name="Normal 6 3 2 2 2 2 2" xfId="2168" xr:uid="{00000000-0005-0000-0000-000034070000}"/>
    <cellStyle name="Normal 6 3 2 2 2 3" xfId="2169" xr:uid="{00000000-0005-0000-0000-000035070000}"/>
    <cellStyle name="Normal 6 3 2 2 3" xfId="1481" xr:uid="{00000000-0005-0000-0000-000036070000}"/>
    <cellStyle name="Normal 6 3 2 2 3 2" xfId="2170" xr:uid="{00000000-0005-0000-0000-000037070000}"/>
    <cellStyle name="Normal 6 3 2 2 4" xfId="2171" xr:uid="{00000000-0005-0000-0000-000038070000}"/>
    <cellStyle name="Normal 6 3 2 3" xfId="850" xr:uid="{00000000-0005-0000-0000-000039070000}"/>
    <cellStyle name="Normal 6 3 2 3 2" xfId="1482" xr:uid="{00000000-0005-0000-0000-00003A070000}"/>
    <cellStyle name="Normal 6 3 2 3 2 2" xfId="2172" xr:uid="{00000000-0005-0000-0000-00003B070000}"/>
    <cellStyle name="Normal 6 3 2 3 3" xfId="2173" xr:uid="{00000000-0005-0000-0000-00003C070000}"/>
    <cellStyle name="Normal 6 3 2 4" xfId="1483" xr:uid="{00000000-0005-0000-0000-00003D070000}"/>
    <cellStyle name="Normal 6 3 2 4 2" xfId="2174" xr:uid="{00000000-0005-0000-0000-00003E070000}"/>
    <cellStyle name="Normal 6 3 2 5" xfId="2175" xr:uid="{00000000-0005-0000-0000-00003F070000}"/>
    <cellStyle name="Normal 6 3 3" xfId="851" xr:uid="{00000000-0005-0000-0000-000040070000}"/>
    <cellStyle name="Normal 6 3 3 2" xfId="852" xr:uid="{00000000-0005-0000-0000-000041070000}"/>
    <cellStyle name="Normal 6 3 3 2 2" xfId="1484" xr:uid="{00000000-0005-0000-0000-000042070000}"/>
    <cellStyle name="Normal 6 3 3 2 2 2" xfId="2176" xr:uid="{00000000-0005-0000-0000-000043070000}"/>
    <cellStyle name="Normal 6 3 3 2 3" xfId="2177" xr:uid="{00000000-0005-0000-0000-000044070000}"/>
    <cellStyle name="Normal 6 3 3 3" xfId="1485" xr:uid="{00000000-0005-0000-0000-000045070000}"/>
    <cellStyle name="Normal 6 3 3 3 2" xfId="2178" xr:uid="{00000000-0005-0000-0000-000046070000}"/>
    <cellStyle name="Normal 6 3 3 4" xfId="2179" xr:uid="{00000000-0005-0000-0000-000047070000}"/>
    <cellStyle name="Normal 6 3 4" xfId="853" xr:uid="{00000000-0005-0000-0000-000048070000}"/>
    <cellStyle name="Normal 6 3 4 2" xfId="1486" xr:uid="{00000000-0005-0000-0000-000049070000}"/>
    <cellStyle name="Normal 6 3 4 2 2" xfId="2180" xr:uid="{00000000-0005-0000-0000-00004A070000}"/>
    <cellStyle name="Normal 6 3 4 3" xfId="2181" xr:uid="{00000000-0005-0000-0000-00004B070000}"/>
    <cellStyle name="Normal 6 3 5" xfId="1487" xr:uid="{00000000-0005-0000-0000-00004C070000}"/>
    <cellStyle name="Normal 6 3 5 2" xfId="2182" xr:uid="{00000000-0005-0000-0000-00004D070000}"/>
    <cellStyle name="Normal 6 3 6" xfId="2183" xr:uid="{00000000-0005-0000-0000-00004E070000}"/>
    <cellStyle name="Normal 6 4" xfId="483" xr:uid="{00000000-0005-0000-0000-00004F070000}"/>
    <cellStyle name="Normal 6 4 2" xfId="553" xr:uid="{00000000-0005-0000-0000-000050070000}"/>
    <cellStyle name="Normal 6 4 2 2" xfId="854" xr:uid="{00000000-0005-0000-0000-000051070000}"/>
    <cellStyle name="Normal 6 4 2 2 2" xfId="855" xr:uid="{00000000-0005-0000-0000-000052070000}"/>
    <cellStyle name="Normal 6 4 2 2 2 2" xfId="1488" xr:uid="{00000000-0005-0000-0000-000053070000}"/>
    <cellStyle name="Normal 6 4 2 2 2 2 2" xfId="2184" xr:uid="{00000000-0005-0000-0000-000054070000}"/>
    <cellStyle name="Normal 6 4 2 2 2 3" xfId="2185" xr:uid="{00000000-0005-0000-0000-000055070000}"/>
    <cellStyle name="Normal 6 4 2 2 3" xfId="1489" xr:uid="{00000000-0005-0000-0000-000056070000}"/>
    <cellStyle name="Normal 6 4 2 2 3 2" xfId="2186" xr:uid="{00000000-0005-0000-0000-000057070000}"/>
    <cellStyle name="Normal 6 4 2 2 4" xfId="2187" xr:uid="{00000000-0005-0000-0000-000058070000}"/>
    <cellStyle name="Normal 6 4 2 3" xfId="856" xr:uid="{00000000-0005-0000-0000-000059070000}"/>
    <cellStyle name="Normal 6 4 2 3 2" xfId="1490" xr:uid="{00000000-0005-0000-0000-00005A070000}"/>
    <cellStyle name="Normal 6 4 2 3 2 2" xfId="2188" xr:uid="{00000000-0005-0000-0000-00005B070000}"/>
    <cellStyle name="Normal 6 4 2 3 3" xfId="2189" xr:uid="{00000000-0005-0000-0000-00005C070000}"/>
    <cellStyle name="Normal 6 4 2 4" xfId="1491" xr:uid="{00000000-0005-0000-0000-00005D070000}"/>
    <cellStyle name="Normal 6 4 2 4 2" xfId="2190" xr:uid="{00000000-0005-0000-0000-00005E070000}"/>
    <cellStyle name="Normal 6 4 2 5" xfId="2191" xr:uid="{00000000-0005-0000-0000-00005F070000}"/>
    <cellStyle name="Normal 6 4 3" xfId="857" xr:uid="{00000000-0005-0000-0000-000060070000}"/>
    <cellStyle name="Normal 6 4 3 2" xfId="858" xr:uid="{00000000-0005-0000-0000-000061070000}"/>
    <cellStyle name="Normal 6 4 3 2 2" xfId="1492" xr:uid="{00000000-0005-0000-0000-000062070000}"/>
    <cellStyle name="Normal 6 4 3 2 2 2" xfId="2192" xr:uid="{00000000-0005-0000-0000-000063070000}"/>
    <cellStyle name="Normal 6 4 3 2 3" xfId="2193" xr:uid="{00000000-0005-0000-0000-000064070000}"/>
    <cellStyle name="Normal 6 4 3 3" xfId="1493" xr:uid="{00000000-0005-0000-0000-000065070000}"/>
    <cellStyle name="Normal 6 4 3 3 2" xfId="2194" xr:uid="{00000000-0005-0000-0000-000066070000}"/>
    <cellStyle name="Normal 6 4 3 4" xfId="2195" xr:uid="{00000000-0005-0000-0000-000067070000}"/>
    <cellStyle name="Normal 6 4 4" xfId="859" xr:uid="{00000000-0005-0000-0000-000068070000}"/>
    <cellStyle name="Normal 6 4 4 2" xfId="1494" xr:uid="{00000000-0005-0000-0000-000069070000}"/>
    <cellStyle name="Normal 6 4 4 2 2" xfId="2196" xr:uid="{00000000-0005-0000-0000-00006A070000}"/>
    <cellStyle name="Normal 6 4 4 3" xfId="2197" xr:uid="{00000000-0005-0000-0000-00006B070000}"/>
    <cellStyle name="Normal 6 4 5" xfId="1495" xr:uid="{00000000-0005-0000-0000-00006C070000}"/>
    <cellStyle name="Normal 6 4 5 2" xfId="2198" xr:uid="{00000000-0005-0000-0000-00006D070000}"/>
    <cellStyle name="Normal 6 4 6" xfId="2199" xr:uid="{00000000-0005-0000-0000-00006E070000}"/>
    <cellStyle name="Normal 6 5" xfId="484" xr:uid="{00000000-0005-0000-0000-00006F070000}"/>
    <cellStyle name="Normal 6 5 2" xfId="860" xr:uid="{00000000-0005-0000-0000-000070070000}"/>
    <cellStyle name="Normal 6 5 2 2" xfId="861" xr:uid="{00000000-0005-0000-0000-000071070000}"/>
    <cellStyle name="Normal 6 5 2 2 2" xfId="862" xr:uid="{00000000-0005-0000-0000-000072070000}"/>
    <cellStyle name="Normal 6 5 2 2 2 2" xfId="1496" xr:uid="{00000000-0005-0000-0000-000073070000}"/>
    <cellStyle name="Normal 6 5 2 2 2 2 2" xfId="2200" xr:uid="{00000000-0005-0000-0000-000074070000}"/>
    <cellStyle name="Normal 6 5 2 2 2 3" xfId="2201" xr:uid="{00000000-0005-0000-0000-000075070000}"/>
    <cellStyle name="Normal 6 5 2 2 3" xfId="1497" xr:uid="{00000000-0005-0000-0000-000076070000}"/>
    <cellStyle name="Normal 6 5 2 2 3 2" xfId="2202" xr:uid="{00000000-0005-0000-0000-000077070000}"/>
    <cellStyle name="Normal 6 5 2 2 4" xfId="2203" xr:uid="{00000000-0005-0000-0000-000078070000}"/>
    <cellStyle name="Normal 6 5 2 3" xfId="863" xr:uid="{00000000-0005-0000-0000-000079070000}"/>
    <cellStyle name="Normal 6 5 2 3 2" xfId="1498" xr:uid="{00000000-0005-0000-0000-00007A070000}"/>
    <cellStyle name="Normal 6 5 2 3 2 2" xfId="2204" xr:uid="{00000000-0005-0000-0000-00007B070000}"/>
    <cellStyle name="Normal 6 5 2 3 3" xfId="2205" xr:uid="{00000000-0005-0000-0000-00007C070000}"/>
    <cellStyle name="Normal 6 5 2 4" xfId="1499" xr:uid="{00000000-0005-0000-0000-00007D070000}"/>
    <cellStyle name="Normal 6 5 2 4 2" xfId="2206" xr:uid="{00000000-0005-0000-0000-00007E070000}"/>
    <cellStyle name="Normal 6 5 2 5" xfId="2207" xr:uid="{00000000-0005-0000-0000-00007F070000}"/>
    <cellStyle name="Normal 6 5 3" xfId="864" xr:uid="{00000000-0005-0000-0000-000080070000}"/>
    <cellStyle name="Normal 6 5 3 2" xfId="865" xr:uid="{00000000-0005-0000-0000-000081070000}"/>
    <cellStyle name="Normal 6 5 3 2 2" xfId="1500" xr:uid="{00000000-0005-0000-0000-000082070000}"/>
    <cellStyle name="Normal 6 5 3 2 2 2" xfId="2208" xr:uid="{00000000-0005-0000-0000-000083070000}"/>
    <cellStyle name="Normal 6 5 3 2 3" xfId="2209" xr:uid="{00000000-0005-0000-0000-000084070000}"/>
    <cellStyle name="Normal 6 5 3 3" xfId="1501" xr:uid="{00000000-0005-0000-0000-000085070000}"/>
    <cellStyle name="Normal 6 5 3 3 2" xfId="2210" xr:uid="{00000000-0005-0000-0000-000086070000}"/>
    <cellStyle name="Normal 6 5 3 4" xfId="2211" xr:uid="{00000000-0005-0000-0000-000087070000}"/>
    <cellStyle name="Normal 6 5 4" xfId="866" xr:uid="{00000000-0005-0000-0000-000088070000}"/>
    <cellStyle name="Normal 6 5 4 2" xfId="1502" xr:uid="{00000000-0005-0000-0000-000089070000}"/>
    <cellStyle name="Normal 6 5 4 2 2" xfId="2212" xr:uid="{00000000-0005-0000-0000-00008A070000}"/>
    <cellStyle name="Normal 6 5 4 3" xfId="2213" xr:uid="{00000000-0005-0000-0000-00008B070000}"/>
    <cellStyle name="Normal 6 5 5" xfId="1503" xr:uid="{00000000-0005-0000-0000-00008C070000}"/>
    <cellStyle name="Normal 6 5 5 2" xfId="2214" xr:uid="{00000000-0005-0000-0000-00008D070000}"/>
    <cellStyle name="Normal 6 5 6" xfId="2215" xr:uid="{00000000-0005-0000-0000-00008E070000}"/>
    <cellStyle name="Normal 6 6" xfId="485" xr:uid="{00000000-0005-0000-0000-00008F070000}"/>
    <cellStyle name="Normal 6 6 2" xfId="867" xr:uid="{00000000-0005-0000-0000-000090070000}"/>
    <cellStyle name="Normal 6 6 2 2" xfId="868" xr:uid="{00000000-0005-0000-0000-000091070000}"/>
    <cellStyle name="Normal 6 6 2 2 2" xfId="869" xr:uid="{00000000-0005-0000-0000-000092070000}"/>
    <cellStyle name="Normal 6 6 2 2 2 2" xfId="1504" xr:uid="{00000000-0005-0000-0000-000093070000}"/>
    <cellStyle name="Normal 6 6 2 2 2 2 2" xfId="2216" xr:uid="{00000000-0005-0000-0000-000094070000}"/>
    <cellStyle name="Normal 6 6 2 2 2 3" xfId="2217" xr:uid="{00000000-0005-0000-0000-000095070000}"/>
    <cellStyle name="Normal 6 6 2 2 3" xfId="1505" xr:uid="{00000000-0005-0000-0000-000096070000}"/>
    <cellStyle name="Normal 6 6 2 2 3 2" xfId="2218" xr:uid="{00000000-0005-0000-0000-000097070000}"/>
    <cellStyle name="Normal 6 6 2 2 4" xfId="2219" xr:uid="{00000000-0005-0000-0000-000098070000}"/>
    <cellStyle name="Normal 6 6 2 3" xfId="870" xr:uid="{00000000-0005-0000-0000-000099070000}"/>
    <cellStyle name="Normal 6 6 2 3 2" xfId="1506" xr:uid="{00000000-0005-0000-0000-00009A070000}"/>
    <cellStyle name="Normal 6 6 2 3 2 2" xfId="2220" xr:uid="{00000000-0005-0000-0000-00009B070000}"/>
    <cellStyle name="Normal 6 6 2 3 3" xfId="2221" xr:uid="{00000000-0005-0000-0000-00009C070000}"/>
    <cellStyle name="Normal 6 6 2 4" xfId="1507" xr:uid="{00000000-0005-0000-0000-00009D070000}"/>
    <cellStyle name="Normal 6 6 2 4 2" xfId="2222" xr:uid="{00000000-0005-0000-0000-00009E070000}"/>
    <cellStyle name="Normal 6 6 2 5" xfId="2223" xr:uid="{00000000-0005-0000-0000-00009F070000}"/>
    <cellStyle name="Normal 6 6 3" xfId="871" xr:uid="{00000000-0005-0000-0000-0000A0070000}"/>
    <cellStyle name="Normal 6 6 3 2" xfId="872" xr:uid="{00000000-0005-0000-0000-0000A1070000}"/>
    <cellStyle name="Normal 6 6 3 2 2" xfId="1508" xr:uid="{00000000-0005-0000-0000-0000A2070000}"/>
    <cellStyle name="Normal 6 6 3 2 2 2" xfId="2224" xr:uid="{00000000-0005-0000-0000-0000A3070000}"/>
    <cellStyle name="Normal 6 6 3 2 3" xfId="2225" xr:uid="{00000000-0005-0000-0000-0000A4070000}"/>
    <cellStyle name="Normal 6 6 3 3" xfId="1509" xr:uid="{00000000-0005-0000-0000-0000A5070000}"/>
    <cellStyle name="Normal 6 6 3 3 2" xfId="2226" xr:uid="{00000000-0005-0000-0000-0000A6070000}"/>
    <cellStyle name="Normal 6 6 3 4" xfId="2227" xr:uid="{00000000-0005-0000-0000-0000A7070000}"/>
    <cellStyle name="Normal 6 6 4" xfId="873" xr:uid="{00000000-0005-0000-0000-0000A8070000}"/>
    <cellStyle name="Normal 6 6 4 2" xfId="1510" xr:uid="{00000000-0005-0000-0000-0000A9070000}"/>
    <cellStyle name="Normal 6 6 4 2 2" xfId="2228" xr:uid="{00000000-0005-0000-0000-0000AA070000}"/>
    <cellStyle name="Normal 6 6 4 3" xfId="2229" xr:uid="{00000000-0005-0000-0000-0000AB070000}"/>
    <cellStyle name="Normal 6 6 5" xfId="1511" xr:uid="{00000000-0005-0000-0000-0000AC070000}"/>
    <cellStyle name="Normal 6 6 5 2" xfId="2230" xr:uid="{00000000-0005-0000-0000-0000AD070000}"/>
    <cellStyle name="Normal 6 6 6" xfId="2231" xr:uid="{00000000-0005-0000-0000-0000AE070000}"/>
    <cellStyle name="Normal 6 7" xfId="486" xr:uid="{00000000-0005-0000-0000-0000AF070000}"/>
    <cellStyle name="Normal 6 7 2" xfId="874" xr:uid="{00000000-0005-0000-0000-0000B0070000}"/>
    <cellStyle name="Normal 6 7 2 2" xfId="875" xr:uid="{00000000-0005-0000-0000-0000B1070000}"/>
    <cellStyle name="Normal 6 7 2 2 2" xfId="876" xr:uid="{00000000-0005-0000-0000-0000B2070000}"/>
    <cellStyle name="Normal 6 7 2 2 2 2" xfId="1512" xr:uid="{00000000-0005-0000-0000-0000B3070000}"/>
    <cellStyle name="Normal 6 7 2 2 2 2 2" xfId="2232" xr:uid="{00000000-0005-0000-0000-0000B4070000}"/>
    <cellStyle name="Normal 6 7 2 2 2 3" xfId="2233" xr:uid="{00000000-0005-0000-0000-0000B5070000}"/>
    <cellStyle name="Normal 6 7 2 2 3" xfId="1513" xr:uid="{00000000-0005-0000-0000-0000B6070000}"/>
    <cellStyle name="Normal 6 7 2 2 3 2" xfId="2234" xr:uid="{00000000-0005-0000-0000-0000B7070000}"/>
    <cellStyle name="Normal 6 7 2 2 4" xfId="2235" xr:uid="{00000000-0005-0000-0000-0000B8070000}"/>
    <cellStyle name="Normal 6 7 2 3" xfId="877" xr:uid="{00000000-0005-0000-0000-0000B9070000}"/>
    <cellStyle name="Normal 6 7 2 3 2" xfId="1514" xr:uid="{00000000-0005-0000-0000-0000BA070000}"/>
    <cellStyle name="Normal 6 7 2 3 2 2" xfId="2236" xr:uid="{00000000-0005-0000-0000-0000BB070000}"/>
    <cellStyle name="Normal 6 7 2 3 3" xfId="2237" xr:uid="{00000000-0005-0000-0000-0000BC070000}"/>
    <cellStyle name="Normal 6 7 2 4" xfId="1515" xr:uid="{00000000-0005-0000-0000-0000BD070000}"/>
    <cellStyle name="Normal 6 7 2 4 2" xfId="2238" xr:uid="{00000000-0005-0000-0000-0000BE070000}"/>
    <cellStyle name="Normal 6 7 2 5" xfId="2239" xr:uid="{00000000-0005-0000-0000-0000BF070000}"/>
    <cellStyle name="Normal 6 7 3" xfId="878" xr:uid="{00000000-0005-0000-0000-0000C0070000}"/>
    <cellStyle name="Normal 6 7 3 2" xfId="879" xr:uid="{00000000-0005-0000-0000-0000C1070000}"/>
    <cellStyle name="Normal 6 7 3 2 2" xfId="1516" xr:uid="{00000000-0005-0000-0000-0000C2070000}"/>
    <cellStyle name="Normal 6 7 3 2 2 2" xfId="2240" xr:uid="{00000000-0005-0000-0000-0000C3070000}"/>
    <cellStyle name="Normal 6 7 3 2 3" xfId="2241" xr:uid="{00000000-0005-0000-0000-0000C4070000}"/>
    <cellStyle name="Normal 6 7 3 3" xfId="1517" xr:uid="{00000000-0005-0000-0000-0000C5070000}"/>
    <cellStyle name="Normal 6 7 3 3 2" xfId="2242" xr:uid="{00000000-0005-0000-0000-0000C6070000}"/>
    <cellStyle name="Normal 6 7 3 4" xfId="2243" xr:uid="{00000000-0005-0000-0000-0000C7070000}"/>
    <cellStyle name="Normal 6 7 4" xfId="880" xr:uid="{00000000-0005-0000-0000-0000C8070000}"/>
    <cellStyle name="Normal 6 7 4 2" xfId="1518" xr:uid="{00000000-0005-0000-0000-0000C9070000}"/>
    <cellStyle name="Normal 6 7 4 2 2" xfId="2244" xr:uid="{00000000-0005-0000-0000-0000CA070000}"/>
    <cellStyle name="Normal 6 7 4 3" xfId="2245" xr:uid="{00000000-0005-0000-0000-0000CB070000}"/>
    <cellStyle name="Normal 6 7 5" xfId="1519" xr:uid="{00000000-0005-0000-0000-0000CC070000}"/>
    <cellStyle name="Normal 6 7 5 2" xfId="2246" xr:uid="{00000000-0005-0000-0000-0000CD070000}"/>
    <cellStyle name="Normal 6 7 6" xfId="2247" xr:uid="{00000000-0005-0000-0000-0000CE070000}"/>
    <cellStyle name="Normal 6 8" xfId="881" xr:uid="{00000000-0005-0000-0000-0000CF070000}"/>
    <cellStyle name="Normal 6 8 2" xfId="882" xr:uid="{00000000-0005-0000-0000-0000D0070000}"/>
    <cellStyle name="Normal 6 8 2 2" xfId="883" xr:uid="{00000000-0005-0000-0000-0000D1070000}"/>
    <cellStyle name="Normal 6 8 2 2 2" xfId="1520" xr:uid="{00000000-0005-0000-0000-0000D2070000}"/>
    <cellStyle name="Normal 6 8 2 2 2 2" xfId="2248" xr:uid="{00000000-0005-0000-0000-0000D3070000}"/>
    <cellStyle name="Normal 6 8 2 2 3" xfId="2249" xr:uid="{00000000-0005-0000-0000-0000D4070000}"/>
    <cellStyle name="Normal 6 8 2 3" xfId="1521" xr:uid="{00000000-0005-0000-0000-0000D5070000}"/>
    <cellStyle name="Normal 6 8 2 3 2" xfId="2250" xr:uid="{00000000-0005-0000-0000-0000D6070000}"/>
    <cellStyle name="Normal 6 8 2 4" xfId="2251" xr:uid="{00000000-0005-0000-0000-0000D7070000}"/>
    <cellStyle name="Normal 6 8 3" xfId="884" xr:uid="{00000000-0005-0000-0000-0000D8070000}"/>
    <cellStyle name="Normal 6 8 3 2" xfId="1522" xr:uid="{00000000-0005-0000-0000-0000D9070000}"/>
    <cellStyle name="Normal 6 8 3 2 2" xfId="2252" xr:uid="{00000000-0005-0000-0000-0000DA070000}"/>
    <cellStyle name="Normal 6 8 3 3" xfId="2253" xr:uid="{00000000-0005-0000-0000-0000DB070000}"/>
    <cellStyle name="Normal 6 8 4" xfId="1523" xr:uid="{00000000-0005-0000-0000-0000DC070000}"/>
    <cellStyle name="Normal 6 8 4 2" xfId="2254" xr:uid="{00000000-0005-0000-0000-0000DD070000}"/>
    <cellStyle name="Normal 6 8 5" xfId="2255" xr:uid="{00000000-0005-0000-0000-0000DE070000}"/>
    <cellStyle name="Normal 6 9" xfId="885" xr:uid="{00000000-0005-0000-0000-0000DF070000}"/>
    <cellStyle name="Normal 6 9 2" xfId="886" xr:uid="{00000000-0005-0000-0000-0000E0070000}"/>
    <cellStyle name="Normal 6 9 2 2" xfId="1524" xr:uid="{00000000-0005-0000-0000-0000E1070000}"/>
    <cellStyle name="Normal 6 9 2 2 2" xfId="2256" xr:uid="{00000000-0005-0000-0000-0000E2070000}"/>
    <cellStyle name="Normal 6 9 2 3" xfId="2257" xr:uid="{00000000-0005-0000-0000-0000E3070000}"/>
    <cellStyle name="Normal 6 9 3" xfId="1525" xr:uid="{00000000-0005-0000-0000-0000E4070000}"/>
    <cellStyle name="Normal 6 9 3 2" xfId="2258" xr:uid="{00000000-0005-0000-0000-0000E5070000}"/>
    <cellStyle name="Normal 6 9 4" xfId="2259" xr:uid="{00000000-0005-0000-0000-0000E6070000}"/>
    <cellStyle name="Normal 60" xfId="592" xr:uid="{00000000-0005-0000-0000-0000E7070000}"/>
    <cellStyle name="Normal 60 2" xfId="1044" xr:uid="{00000000-0005-0000-0000-0000E8070000}"/>
    <cellStyle name="Normal 60 2 2" xfId="1527" xr:uid="{00000000-0005-0000-0000-0000E9070000}"/>
    <cellStyle name="Normal 60 3" xfId="1526" xr:uid="{00000000-0005-0000-0000-0000EA070000}"/>
    <cellStyle name="Normal 61" xfId="593" xr:uid="{00000000-0005-0000-0000-0000EB070000}"/>
    <cellStyle name="Normal 61 2" xfId="1045" xr:uid="{00000000-0005-0000-0000-0000EC070000}"/>
    <cellStyle name="Normal 61 2 2" xfId="1138" xr:uid="{00000000-0005-0000-0000-0000ED070000}"/>
    <cellStyle name="Normal 61 2 2 2" xfId="1528" xr:uid="{00000000-0005-0000-0000-0000EE070000}"/>
    <cellStyle name="Normal 61 2 2 2 2" xfId="2260" xr:uid="{00000000-0005-0000-0000-0000EF070000}"/>
    <cellStyle name="Normal 61 2 2 3" xfId="1529" xr:uid="{00000000-0005-0000-0000-0000F0070000}"/>
    <cellStyle name="Normal 61 2 2 3 2" xfId="2261" xr:uid="{00000000-0005-0000-0000-0000F1070000}"/>
    <cellStyle name="Normal 61 2 2 4" xfId="2262" xr:uid="{00000000-0005-0000-0000-0000F2070000}"/>
    <cellStyle name="Normal 61 2 3" xfId="1530" xr:uid="{00000000-0005-0000-0000-0000F3070000}"/>
    <cellStyle name="Normal 61 2 3 2" xfId="2263" xr:uid="{00000000-0005-0000-0000-0000F4070000}"/>
    <cellStyle name="Normal 61 2 4" xfId="2264" xr:uid="{00000000-0005-0000-0000-0000F5070000}"/>
    <cellStyle name="Normal 61 3" xfId="2265" xr:uid="{00000000-0005-0000-0000-0000F6070000}"/>
    <cellStyle name="Normal 62" xfId="594" xr:uid="{00000000-0005-0000-0000-0000F7070000}"/>
    <cellStyle name="Normal 62 2" xfId="1046" xr:uid="{00000000-0005-0000-0000-0000F8070000}"/>
    <cellStyle name="Normal 62 2 2" xfId="2266" xr:uid="{00000000-0005-0000-0000-0000F9070000}"/>
    <cellStyle name="Normal 62 3" xfId="1531" xr:uid="{00000000-0005-0000-0000-0000FA070000}"/>
    <cellStyle name="Normal 63" xfId="595" xr:uid="{00000000-0005-0000-0000-0000FB070000}"/>
    <cellStyle name="Normal 63 2" xfId="1047" xr:uid="{00000000-0005-0000-0000-0000FC070000}"/>
    <cellStyle name="Normal 63 3" xfId="1532" xr:uid="{00000000-0005-0000-0000-0000FD070000}"/>
    <cellStyle name="Normal 64" xfId="599" xr:uid="{00000000-0005-0000-0000-0000FE070000}"/>
    <cellStyle name="Normal 64 2" xfId="1048" xr:uid="{00000000-0005-0000-0000-0000FF070000}"/>
    <cellStyle name="Normal 65" xfId="596" xr:uid="{00000000-0005-0000-0000-000000080000}"/>
    <cellStyle name="Normal 65 2" xfId="1049" xr:uid="{00000000-0005-0000-0000-000001080000}"/>
    <cellStyle name="Normal 66" xfId="605" xr:uid="{00000000-0005-0000-0000-000002080000}"/>
    <cellStyle name="Normal 66 2" xfId="2516" xr:uid="{00000000-0005-0000-0000-000003080000}"/>
    <cellStyle name="Normal 67" xfId="606" xr:uid="{00000000-0005-0000-0000-000004080000}"/>
    <cellStyle name="Normal 67 2" xfId="2517" xr:uid="{00000000-0005-0000-0000-000005080000}"/>
    <cellStyle name="Normal 68" xfId="607" xr:uid="{00000000-0005-0000-0000-000006080000}"/>
    <cellStyle name="Normal 68 2" xfId="2518" xr:uid="{00000000-0005-0000-0000-000007080000}"/>
    <cellStyle name="Normal 69" xfId="608" xr:uid="{00000000-0005-0000-0000-000008080000}"/>
    <cellStyle name="Normal 69 2" xfId="2519" xr:uid="{00000000-0005-0000-0000-000009080000}"/>
    <cellStyle name="Normal 7" xfId="487" xr:uid="{00000000-0005-0000-0000-00000A080000}"/>
    <cellStyle name="Normal 7 10" xfId="2605" xr:uid="{00000000-0005-0000-0000-00000B080000}"/>
    <cellStyle name="Normal 7 2" xfId="488" xr:uid="{00000000-0005-0000-0000-00000C080000}"/>
    <cellStyle name="Normal 7 2 2" xfId="489" xr:uid="{00000000-0005-0000-0000-00000D080000}"/>
    <cellStyle name="Normal 7 3" xfId="490" xr:uid="{00000000-0005-0000-0000-00000E080000}"/>
    <cellStyle name="Normal 7 3 2" xfId="491" xr:uid="{00000000-0005-0000-0000-00000F080000}"/>
    <cellStyle name="Normal 7 3 2 2" xfId="2267" xr:uid="{00000000-0005-0000-0000-000010080000}"/>
    <cellStyle name="Normal 7 3 3" xfId="1533" xr:uid="{00000000-0005-0000-0000-000011080000}"/>
    <cellStyle name="Normal 7 4" xfId="492" xr:uid="{00000000-0005-0000-0000-000012080000}"/>
    <cellStyle name="Normal 7 4 2" xfId="493" xr:uid="{00000000-0005-0000-0000-000013080000}"/>
    <cellStyle name="Normal 7 5" xfId="494" xr:uid="{00000000-0005-0000-0000-000014080000}"/>
    <cellStyle name="Normal 7 6" xfId="495" xr:uid="{00000000-0005-0000-0000-000015080000}"/>
    <cellStyle name="Normal 7 7" xfId="496" xr:uid="{00000000-0005-0000-0000-000016080000}"/>
    <cellStyle name="Normal 7 8" xfId="497" xr:uid="{00000000-0005-0000-0000-000017080000}"/>
    <cellStyle name="Normal 7 9" xfId="887" xr:uid="{00000000-0005-0000-0000-000018080000}"/>
    <cellStyle name="Normal 70" xfId="609" xr:uid="{00000000-0005-0000-0000-000019080000}"/>
    <cellStyle name="Normal 70 2" xfId="2520" xr:uid="{00000000-0005-0000-0000-00001A080000}"/>
    <cellStyle name="Normal 71" xfId="610" xr:uid="{00000000-0005-0000-0000-00001B080000}"/>
    <cellStyle name="Normal 71 2" xfId="2521" xr:uid="{00000000-0005-0000-0000-00001C080000}"/>
    <cellStyle name="Normal 72" xfId="611" xr:uid="{00000000-0005-0000-0000-00001D080000}"/>
    <cellStyle name="Normal 72 2" xfId="2522" xr:uid="{00000000-0005-0000-0000-00001E080000}"/>
    <cellStyle name="Normal 73" xfId="612" xr:uid="{00000000-0005-0000-0000-00001F080000}"/>
    <cellStyle name="Normal 74" xfId="613" xr:uid="{00000000-0005-0000-0000-000020080000}"/>
    <cellStyle name="Normal 75" xfId="614" xr:uid="{00000000-0005-0000-0000-000021080000}"/>
    <cellStyle name="Normal 76" xfId="615" xr:uid="{00000000-0005-0000-0000-000022080000}"/>
    <cellStyle name="Normal 77" xfId="616" xr:uid="{00000000-0005-0000-0000-000023080000}"/>
    <cellStyle name="Normal 78" xfId="617" xr:uid="{00000000-0005-0000-0000-000024080000}"/>
    <cellStyle name="Normal 79" xfId="618" xr:uid="{00000000-0005-0000-0000-000025080000}"/>
    <cellStyle name="Normal 8" xfId="498" xr:uid="{00000000-0005-0000-0000-000026080000}"/>
    <cellStyle name="Normal 8 2" xfId="499" xr:uid="{00000000-0005-0000-0000-000027080000}"/>
    <cellStyle name="Normal 8 2 2" xfId="500" xr:uid="{00000000-0005-0000-0000-000028080000}"/>
    <cellStyle name="Normal 8 3" xfId="501" xr:uid="{00000000-0005-0000-0000-000029080000}"/>
    <cellStyle name="Normal 8 3 2" xfId="502" xr:uid="{00000000-0005-0000-0000-00002A080000}"/>
    <cellStyle name="Normal 8 3 2 2" xfId="1534" xr:uid="{00000000-0005-0000-0000-00002B080000}"/>
    <cellStyle name="Normal 8 3 3" xfId="888" xr:uid="{00000000-0005-0000-0000-00002C080000}"/>
    <cellStyle name="Normal 8 4" xfId="503" xr:uid="{00000000-0005-0000-0000-00002D080000}"/>
    <cellStyle name="Normal 8 4 2" xfId="1535" xr:uid="{00000000-0005-0000-0000-00002E080000}"/>
    <cellStyle name="Normal 8 5" xfId="504" xr:uid="{00000000-0005-0000-0000-00002F080000}"/>
    <cellStyle name="Normal 8 6" xfId="505" xr:uid="{00000000-0005-0000-0000-000030080000}"/>
    <cellStyle name="Normal 8 7" xfId="506" xr:uid="{00000000-0005-0000-0000-000031080000}"/>
    <cellStyle name="Normal 80" xfId="619" xr:uid="{00000000-0005-0000-0000-000032080000}"/>
    <cellStyle name="Normal 81" xfId="620" xr:uid="{00000000-0005-0000-0000-000033080000}"/>
    <cellStyle name="Normal 82" xfId="621" xr:uid="{00000000-0005-0000-0000-000034080000}"/>
    <cellStyle name="Normal 83" xfId="623" xr:uid="{00000000-0005-0000-0000-000035080000}"/>
    <cellStyle name="Normal 83 2" xfId="1050" xr:uid="{00000000-0005-0000-0000-000036080000}"/>
    <cellStyle name="Normal 84" xfId="624" xr:uid="{00000000-0005-0000-0000-000037080000}"/>
    <cellStyle name="Normal 85" xfId="625" xr:uid="{00000000-0005-0000-0000-000038080000}"/>
    <cellStyle name="Normal 85 2" xfId="1051" xr:uid="{00000000-0005-0000-0000-000039080000}"/>
    <cellStyle name="Normal 85 3" xfId="1062" xr:uid="{00000000-0005-0000-0000-00003A080000}"/>
    <cellStyle name="Normal 86" xfId="626" xr:uid="{00000000-0005-0000-0000-00003B080000}"/>
    <cellStyle name="Normal 86 2" xfId="1052" xr:uid="{00000000-0005-0000-0000-00003C080000}"/>
    <cellStyle name="Normal 86 3" xfId="1063" xr:uid="{00000000-0005-0000-0000-00003D080000}"/>
    <cellStyle name="Normal 87" xfId="627" xr:uid="{00000000-0005-0000-0000-00003E080000}"/>
    <cellStyle name="Normal 87 2" xfId="889" xr:uid="{00000000-0005-0000-0000-00003F080000}"/>
    <cellStyle name="Normal 87 3" xfId="1053" xr:uid="{00000000-0005-0000-0000-000040080000}"/>
    <cellStyle name="Normal 88" xfId="890" xr:uid="{00000000-0005-0000-0000-000041080000}"/>
    <cellStyle name="Normal 89" xfId="891" xr:uid="{00000000-0005-0000-0000-000042080000}"/>
    <cellStyle name="Normal 9" xfId="507" xr:uid="{00000000-0005-0000-0000-000043080000}"/>
    <cellStyle name="Normal 9 2" xfId="508" xr:uid="{00000000-0005-0000-0000-000044080000}"/>
    <cellStyle name="Normal 9 2 2" xfId="509" xr:uid="{00000000-0005-0000-0000-000045080000}"/>
    <cellStyle name="Normal 9 2 2 2" xfId="892" xr:uid="{00000000-0005-0000-0000-000046080000}"/>
    <cellStyle name="Normal 9 2 2 2 2" xfId="893" xr:uid="{00000000-0005-0000-0000-000047080000}"/>
    <cellStyle name="Normal 9 2 2 2 2 2" xfId="1536" xr:uid="{00000000-0005-0000-0000-000048080000}"/>
    <cellStyle name="Normal 9 2 2 2 2 2 2" xfId="2268" xr:uid="{00000000-0005-0000-0000-000049080000}"/>
    <cellStyle name="Normal 9 2 2 2 2 3" xfId="2269" xr:uid="{00000000-0005-0000-0000-00004A080000}"/>
    <cellStyle name="Normal 9 2 2 2 3" xfId="1537" xr:uid="{00000000-0005-0000-0000-00004B080000}"/>
    <cellStyle name="Normal 9 2 2 2 3 2" xfId="2270" xr:uid="{00000000-0005-0000-0000-00004C080000}"/>
    <cellStyle name="Normal 9 2 2 2 4" xfId="2271" xr:uid="{00000000-0005-0000-0000-00004D080000}"/>
    <cellStyle name="Normal 9 2 2 3" xfId="894" xr:uid="{00000000-0005-0000-0000-00004E080000}"/>
    <cellStyle name="Normal 9 2 2 3 2" xfId="1538" xr:uid="{00000000-0005-0000-0000-00004F080000}"/>
    <cellStyle name="Normal 9 2 2 3 2 2" xfId="2272" xr:uid="{00000000-0005-0000-0000-000050080000}"/>
    <cellStyle name="Normal 9 2 2 3 3" xfId="2273" xr:uid="{00000000-0005-0000-0000-000051080000}"/>
    <cellStyle name="Normal 9 2 2 4" xfId="1539" xr:uid="{00000000-0005-0000-0000-000052080000}"/>
    <cellStyle name="Normal 9 2 2 4 2" xfId="2274" xr:uid="{00000000-0005-0000-0000-000053080000}"/>
    <cellStyle name="Normal 9 2 2 5" xfId="2275" xr:uid="{00000000-0005-0000-0000-000054080000}"/>
    <cellStyle name="Normal 9 2 3" xfId="895" xr:uid="{00000000-0005-0000-0000-000055080000}"/>
    <cellStyle name="Normal 9 2 3 2" xfId="896" xr:uid="{00000000-0005-0000-0000-000056080000}"/>
    <cellStyle name="Normal 9 2 3 2 2" xfId="1540" xr:uid="{00000000-0005-0000-0000-000057080000}"/>
    <cellStyle name="Normal 9 2 3 2 2 2" xfId="2276" xr:uid="{00000000-0005-0000-0000-000058080000}"/>
    <cellStyle name="Normal 9 2 3 2 3" xfId="2277" xr:uid="{00000000-0005-0000-0000-000059080000}"/>
    <cellStyle name="Normal 9 2 3 3" xfId="1541" xr:uid="{00000000-0005-0000-0000-00005A080000}"/>
    <cellStyle name="Normal 9 2 3 3 2" xfId="2278" xr:uid="{00000000-0005-0000-0000-00005B080000}"/>
    <cellStyle name="Normal 9 2 3 4" xfId="2279" xr:uid="{00000000-0005-0000-0000-00005C080000}"/>
    <cellStyle name="Normal 9 2 4" xfId="897" xr:uid="{00000000-0005-0000-0000-00005D080000}"/>
    <cellStyle name="Normal 9 2 4 2" xfId="1542" xr:uid="{00000000-0005-0000-0000-00005E080000}"/>
    <cellStyle name="Normal 9 2 4 2 2" xfId="2280" xr:uid="{00000000-0005-0000-0000-00005F080000}"/>
    <cellStyle name="Normal 9 2 4 3" xfId="2281" xr:uid="{00000000-0005-0000-0000-000060080000}"/>
    <cellStyle name="Normal 9 2 5" xfId="1543" xr:uid="{00000000-0005-0000-0000-000061080000}"/>
    <cellStyle name="Normal 9 2 5 2" xfId="2282" xr:uid="{00000000-0005-0000-0000-000062080000}"/>
    <cellStyle name="Normal 9 2 6" xfId="2283" xr:uid="{00000000-0005-0000-0000-000063080000}"/>
    <cellStyle name="Normal 9 3" xfId="510" xr:uid="{00000000-0005-0000-0000-000064080000}"/>
    <cellStyle name="Normal 9 3 2" xfId="511" xr:uid="{00000000-0005-0000-0000-000065080000}"/>
    <cellStyle name="Normal 9 3 2 2" xfId="898" xr:uid="{00000000-0005-0000-0000-000066080000}"/>
    <cellStyle name="Normal 9 3 2 2 2" xfId="1544" xr:uid="{00000000-0005-0000-0000-000067080000}"/>
    <cellStyle name="Normal 9 3 2 2 2 2" xfId="2284" xr:uid="{00000000-0005-0000-0000-000068080000}"/>
    <cellStyle name="Normal 9 3 2 2 3" xfId="2285" xr:uid="{00000000-0005-0000-0000-000069080000}"/>
    <cellStyle name="Normal 9 3 2 3" xfId="1545" xr:uid="{00000000-0005-0000-0000-00006A080000}"/>
    <cellStyle name="Normal 9 3 2 3 2" xfId="2286" xr:uid="{00000000-0005-0000-0000-00006B080000}"/>
    <cellStyle name="Normal 9 3 2 4" xfId="2287" xr:uid="{00000000-0005-0000-0000-00006C080000}"/>
    <cellStyle name="Normal 9 3 3" xfId="899" xr:uid="{00000000-0005-0000-0000-00006D080000}"/>
    <cellStyle name="Normal 9 3 3 2" xfId="1546" xr:uid="{00000000-0005-0000-0000-00006E080000}"/>
    <cellStyle name="Normal 9 3 3 2 2" xfId="2288" xr:uid="{00000000-0005-0000-0000-00006F080000}"/>
    <cellStyle name="Normal 9 3 3 3" xfId="2289" xr:uid="{00000000-0005-0000-0000-000070080000}"/>
    <cellStyle name="Normal 9 3 4" xfId="1547" xr:uid="{00000000-0005-0000-0000-000071080000}"/>
    <cellStyle name="Normal 9 3 4 2" xfId="2290" xr:uid="{00000000-0005-0000-0000-000072080000}"/>
    <cellStyle name="Normal 9 3 5" xfId="2291" xr:uid="{00000000-0005-0000-0000-000073080000}"/>
    <cellStyle name="Normal 9 4" xfId="512" xr:uid="{00000000-0005-0000-0000-000074080000}"/>
    <cellStyle name="Normal 9 4 2" xfId="900" xr:uid="{00000000-0005-0000-0000-000075080000}"/>
    <cellStyle name="Normal 9 4 2 2" xfId="1548" xr:uid="{00000000-0005-0000-0000-000076080000}"/>
    <cellStyle name="Normal 9 4 2 2 2" xfId="2292" xr:uid="{00000000-0005-0000-0000-000077080000}"/>
    <cellStyle name="Normal 9 4 2 3" xfId="2293" xr:uid="{00000000-0005-0000-0000-000078080000}"/>
    <cellStyle name="Normal 9 4 3" xfId="1549" xr:uid="{00000000-0005-0000-0000-000079080000}"/>
    <cellStyle name="Normal 9 4 3 2" xfId="2294" xr:uid="{00000000-0005-0000-0000-00007A080000}"/>
    <cellStyle name="Normal 9 4 4" xfId="2295" xr:uid="{00000000-0005-0000-0000-00007B080000}"/>
    <cellStyle name="Normal 9 5" xfId="513" xr:uid="{00000000-0005-0000-0000-00007C080000}"/>
    <cellStyle name="Normal 9 5 2" xfId="1551" xr:uid="{00000000-0005-0000-0000-00007D080000}"/>
    <cellStyle name="Normal 9 5 2 2" xfId="2296" xr:uid="{00000000-0005-0000-0000-00007E080000}"/>
    <cellStyle name="Normal 9 5 3" xfId="1550" xr:uid="{00000000-0005-0000-0000-00007F080000}"/>
    <cellStyle name="Normal 9 6" xfId="514" xr:uid="{00000000-0005-0000-0000-000080080000}"/>
    <cellStyle name="Normal 9 6 2" xfId="1552" xr:uid="{00000000-0005-0000-0000-000081080000}"/>
    <cellStyle name="Normal 9 7" xfId="515" xr:uid="{00000000-0005-0000-0000-000082080000}"/>
    <cellStyle name="Normal 9 7 2" xfId="2297" xr:uid="{00000000-0005-0000-0000-000083080000}"/>
    <cellStyle name="Normal 90" xfId="901" xr:uid="{00000000-0005-0000-0000-000084080000}"/>
    <cellStyle name="Normal 91" xfId="902" xr:uid="{00000000-0005-0000-0000-000085080000}"/>
    <cellStyle name="Normal 92" xfId="903" xr:uid="{00000000-0005-0000-0000-000086080000}"/>
    <cellStyle name="Normal 93" xfId="904" xr:uid="{00000000-0005-0000-0000-000087080000}"/>
    <cellStyle name="Normal 94" xfId="905" xr:uid="{00000000-0005-0000-0000-000088080000}"/>
    <cellStyle name="Normal 95" xfId="906" xr:uid="{00000000-0005-0000-0000-000089080000}"/>
    <cellStyle name="Normal 96" xfId="907" xr:uid="{00000000-0005-0000-0000-00008A080000}"/>
    <cellStyle name="Normal 97" xfId="908" xr:uid="{00000000-0005-0000-0000-00008B080000}"/>
    <cellStyle name="Normal 97 2" xfId="1054" xr:uid="{00000000-0005-0000-0000-00008C080000}"/>
    <cellStyle name="Normal 98" xfId="909" xr:uid="{00000000-0005-0000-0000-00008D080000}"/>
    <cellStyle name="Normal 99" xfId="910" xr:uid="{00000000-0005-0000-0000-00008E080000}"/>
    <cellStyle name="Normal_IPCviejo" xfId="1058" xr:uid="{00000000-0005-0000-0000-00008F080000}"/>
    <cellStyle name="Notas" xfId="518" builtinId="10" customBuiltin="1"/>
    <cellStyle name="Notas 2" xfId="516" xr:uid="{00000000-0005-0000-0000-000091080000}"/>
    <cellStyle name="Notas 2 2" xfId="517" xr:uid="{00000000-0005-0000-0000-000092080000}"/>
    <cellStyle name="Notas 2 2 2" xfId="2536" xr:uid="{00000000-0005-0000-0000-000093080000}"/>
    <cellStyle name="Notas 2 3" xfId="2525" xr:uid="{00000000-0005-0000-0000-000094080000}"/>
    <cellStyle name="Note 2" xfId="519" xr:uid="{00000000-0005-0000-0000-000095080000}"/>
    <cellStyle name="Note 2 2" xfId="2537" xr:uid="{00000000-0005-0000-0000-000096080000}"/>
    <cellStyle name="Note 3" xfId="2530" xr:uid="{00000000-0005-0000-0000-000097080000}"/>
    <cellStyle name="Output" xfId="1107" xr:uid="{00000000-0005-0000-0000-000098080000}"/>
    <cellStyle name="Output 2" xfId="520" xr:uid="{00000000-0005-0000-0000-000099080000}"/>
    <cellStyle name="Output 2 2" xfId="2538" xr:uid="{00000000-0005-0000-0000-00009A080000}"/>
    <cellStyle name="Output 3" xfId="2531" xr:uid="{00000000-0005-0000-0000-00009B080000}"/>
    <cellStyle name="Percent 2" xfId="2595" xr:uid="{00000000-0005-0000-0000-00009C080000}"/>
    <cellStyle name="Porcentaje" xfId="521" builtinId="5"/>
    <cellStyle name="Porcentaje 10" xfId="2486" xr:uid="{00000000-0005-0000-0000-00009E080000}"/>
    <cellStyle name="Porcentaje 11" xfId="2488" xr:uid="{00000000-0005-0000-0000-00009F080000}"/>
    <cellStyle name="Porcentaje 12" xfId="2546" xr:uid="{00000000-0005-0000-0000-0000A0080000}"/>
    <cellStyle name="Porcentaje 12 2" xfId="2565" xr:uid="{00000000-0005-0000-0000-0000A1080000}"/>
    <cellStyle name="Porcentaje 13" xfId="2551" xr:uid="{00000000-0005-0000-0000-0000A2080000}"/>
    <cellStyle name="Porcentaje 13 2" xfId="2574" xr:uid="{00000000-0005-0000-0000-0000A3080000}"/>
    <cellStyle name="Porcentaje 14" xfId="2578" xr:uid="{00000000-0005-0000-0000-0000A4080000}"/>
    <cellStyle name="Porcentaje 15" xfId="2583" xr:uid="{00000000-0005-0000-0000-0000A5080000}"/>
    <cellStyle name="Porcentaje 16" xfId="2594" xr:uid="{00000000-0005-0000-0000-0000A6080000}"/>
    <cellStyle name="Porcentaje 2" xfId="522" xr:uid="{00000000-0005-0000-0000-0000A7080000}"/>
    <cellStyle name="Porcentaje 3" xfId="911" xr:uid="{00000000-0005-0000-0000-0000A8080000}"/>
    <cellStyle name="Porcentaje 3 2" xfId="1055" xr:uid="{00000000-0005-0000-0000-0000A9080000}"/>
    <cellStyle name="Porcentaje 3 2 2" xfId="2298" xr:uid="{00000000-0005-0000-0000-0000AA080000}"/>
    <cellStyle name="Porcentaje 3 3" xfId="1553" xr:uid="{00000000-0005-0000-0000-0000AB080000}"/>
    <cellStyle name="Porcentaje 4" xfId="912" xr:uid="{00000000-0005-0000-0000-0000AC080000}"/>
    <cellStyle name="Porcentaje 4 2" xfId="1056" xr:uid="{00000000-0005-0000-0000-0000AD080000}"/>
    <cellStyle name="Porcentaje 4 2 2" xfId="2299" xr:uid="{00000000-0005-0000-0000-0000AE080000}"/>
    <cellStyle name="Porcentaje 4 3" xfId="1554" xr:uid="{00000000-0005-0000-0000-0000AF080000}"/>
    <cellStyle name="Porcentaje 5" xfId="1057" xr:uid="{00000000-0005-0000-0000-0000B0080000}"/>
    <cellStyle name="Porcentaje 5 2" xfId="1555" xr:uid="{00000000-0005-0000-0000-0000B1080000}"/>
    <cellStyle name="Porcentaje 6" xfId="1061" xr:uid="{00000000-0005-0000-0000-0000B2080000}"/>
    <cellStyle name="Porcentaje 6 2" xfId="1068" xr:uid="{00000000-0005-0000-0000-0000B3080000}"/>
    <cellStyle name="Porcentaje 7" xfId="1077" xr:uid="{00000000-0005-0000-0000-0000B4080000}"/>
    <cellStyle name="Porcentaje 7 2" xfId="1083" xr:uid="{00000000-0005-0000-0000-0000B5080000}"/>
    <cellStyle name="Porcentaje 7 3" xfId="2490" xr:uid="{00000000-0005-0000-0000-0000B6080000}"/>
    <cellStyle name="Porcentaje 8" xfId="1097" xr:uid="{00000000-0005-0000-0000-0000B7080000}"/>
    <cellStyle name="Porcentaje 8 2" xfId="2478" xr:uid="{00000000-0005-0000-0000-0000B8080000}"/>
    <cellStyle name="Porcentaje 9" xfId="1080" xr:uid="{00000000-0005-0000-0000-0000B9080000}"/>
    <cellStyle name="Porcentaje 9 2" xfId="2469" xr:uid="{00000000-0005-0000-0000-0000BA080000}"/>
    <cellStyle name="Porcentual 10" xfId="913" xr:uid="{00000000-0005-0000-0000-0000BB080000}"/>
    <cellStyle name="Porcentual 10 2" xfId="914" xr:uid="{00000000-0005-0000-0000-0000BC080000}"/>
    <cellStyle name="Porcentual 10 2 2" xfId="2300" xr:uid="{00000000-0005-0000-0000-0000BD080000}"/>
    <cellStyle name="Porcentual 10 3" xfId="2301" xr:uid="{00000000-0005-0000-0000-0000BE080000}"/>
    <cellStyle name="Porcentual 11" xfId="915" xr:uid="{00000000-0005-0000-0000-0000BF080000}"/>
    <cellStyle name="Porcentual 11 2" xfId="2302" xr:uid="{00000000-0005-0000-0000-0000C0080000}"/>
    <cellStyle name="Porcentual 2" xfId="523" xr:uid="{00000000-0005-0000-0000-0000C1080000}"/>
    <cellStyle name="Porcentual 2 2" xfId="524" xr:uid="{00000000-0005-0000-0000-0000C2080000}"/>
    <cellStyle name="Porcentual 2 2 2" xfId="916" xr:uid="{00000000-0005-0000-0000-0000C3080000}"/>
    <cellStyle name="Porcentual 2 2 2 2" xfId="917" xr:uid="{00000000-0005-0000-0000-0000C4080000}"/>
    <cellStyle name="Porcentual 2 3" xfId="525" xr:uid="{00000000-0005-0000-0000-0000C5080000}"/>
    <cellStyle name="Porcentual 2 3 2" xfId="918" xr:uid="{00000000-0005-0000-0000-0000C6080000}"/>
    <cellStyle name="Porcentual 2 3 2 2" xfId="2303" xr:uid="{00000000-0005-0000-0000-0000C7080000}"/>
    <cellStyle name="Porcentual 2 3 3" xfId="1556" xr:uid="{00000000-0005-0000-0000-0000C8080000}"/>
    <cellStyle name="Porcentual 2 4" xfId="526" xr:uid="{00000000-0005-0000-0000-0000C9080000}"/>
    <cellStyle name="Porcentual 2 4 2" xfId="2304" xr:uid="{00000000-0005-0000-0000-0000CA080000}"/>
    <cellStyle name="Porcentual 2 5" xfId="919" xr:uid="{00000000-0005-0000-0000-0000CB080000}"/>
    <cellStyle name="Porcentual 2 5 2" xfId="2305" xr:uid="{00000000-0005-0000-0000-0000CC080000}"/>
    <cellStyle name="Porcentual 2 6" xfId="920" xr:uid="{00000000-0005-0000-0000-0000CD080000}"/>
    <cellStyle name="Porcentual 2 6 2" xfId="2306" xr:uid="{00000000-0005-0000-0000-0000CE080000}"/>
    <cellStyle name="Porcentual 3" xfId="527" xr:uid="{00000000-0005-0000-0000-0000CF080000}"/>
    <cellStyle name="Porcentual 3 2" xfId="921" xr:uid="{00000000-0005-0000-0000-0000D0080000}"/>
    <cellStyle name="Porcentual 3 2 2" xfId="1557" xr:uid="{00000000-0005-0000-0000-0000D1080000}"/>
    <cellStyle name="Porcentual 3 3" xfId="922" xr:uid="{00000000-0005-0000-0000-0000D2080000}"/>
    <cellStyle name="Porcentual 3 3 2" xfId="2307" xr:uid="{00000000-0005-0000-0000-0000D3080000}"/>
    <cellStyle name="Porcentual 3 4" xfId="923" xr:uid="{00000000-0005-0000-0000-0000D4080000}"/>
    <cellStyle name="Porcentual 3 4 2" xfId="2308" xr:uid="{00000000-0005-0000-0000-0000D5080000}"/>
    <cellStyle name="Porcentual 3 5" xfId="924" xr:uid="{00000000-0005-0000-0000-0000D6080000}"/>
    <cellStyle name="Porcentual 3 5 2" xfId="2309" xr:uid="{00000000-0005-0000-0000-0000D7080000}"/>
    <cellStyle name="Porcentual 3 6" xfId="925" xr:uid="{00000000-0005-0000-0000-0000D8080000}"/>
    <cellStyle name="Porcentual 3 6 2" xfId="2310" xr:uid="{00000000-0005-0000-0000-0000D9080000}"/>
    <cellStyle name="Porcentual 3 7" xfId="926" xr:uid="{00000000-0005-0000-0000-0000DA080000}"/>
    <cellStyle name="Porcentual 3 7 2" xfId="2311" xr:uid="{00000000-0005-0000-0000-0000DB080000}"/>
    <cellStyle name="Porcentual 4" xfId="927" xr:uid="{00000000-0005-0000-0000-0000DC080000}"/>
    <cellStyle name="Porcentual 4 2" xfId="928" xr:uid="{00000000-0005-0000-0000-0000DD080000}"/>
    <cellStyle name="Porcentual 4 2 2" xfId="2312" xr:uid="{00000000-0005-0000-0000-0000DE080000}"/>
    <cellStyle name="Porcentual 4 3" xfId="929" xr:uid="{00000000-0005-0000-0000-0000DF080000}"/>
    <cellStyle name="Porcentual 4 3 2" xfId="2313" xr:uid="{00000000-0005-0000-0000-0000E0080000}"/>
    <cellStyle name="Porcentual 4 4" xfId="930" xr:uid="{00000000-0005-0000-0000-0000E1080000}"/>
    <cellStyle name="Porcentual 4 4 2" xfId="2314" xr:uid="{00000000-0005-0000-0000-0000E2080000}"/>
    <cellStyle name="Porcentual 4 5" xfId="931" xr:uid="{00000000-0005-0000-0000-0000E3080000}"/>
    <cellStyle name="Porcentual 4 5 2" xfId="2315" xr:uid="{00000000-0005-0000-0000-0000E4080000}"/>
    <cellStyle name="Porcentual 4 6" xfId="932" xr:uid="{00000000-0005-0000-0000-0000E5080000}"/>
    <cellStyle name="Porcentual 4 6 2" xfId="2316" xr:uid="{00000000-0005-0000-0000-0000E6080000}"/>
    <cellStyle name="Porcentual 4 7" xfId="933" xr:uid="{00000000-0005-0000-0000-0000E7080000}"/>
    <cellStyle name="Porcentual 4 7 2" xfId="2317" xr:uid="{00000000-0005-0000-0000-0000E8080000}"/>
    <cellStyle name="Porcentual 4 8" xfId="934" xr:uid="{00000000-0005-0000-0000-0000E9080000}"/>
    <cellStyle name="Porcentual 4 8 2" xfId="2318" xr:uid="{00000000-0005-0000-0000-0000EA080000}"/>
    <cellStyle name="Porcentual 4 9" xfId="2319" xr:uid="{00000000-0005-0000-0000-0000EB080000}"/>
    <cellStyle name="Porcentual 5" xfId="935" xr:uid="{00000000-0005-0000-0000-0000EC080000}"/>
    <cellStyle name="Porcentual 5 10" xfId="936" xr:uid="{00000000-0005-0000-0000-0000ED080000}"/>
    <cellStyle name="Porcentual 5 10 2" xfId="1558" xr:uid="{00000000-0005-0000-0000-0000EE080000}"/>
    <cellStyle name="Porcentual 5 10 2 2" xfId="2320" xr:uid="{00000000-0005-0000-0000-0000EF080000}"/>
    <cellStyle name="Porcentual 5 10 3" xfId="2321" xr:uid="{00000000-0005-0000-0000-0000F0080000}"/>
    <cellStyle name="Porcentual 5 11" xfId="937" xr:uid="{00000000-0005-0000-0000-0000F1080000}"/>
    <cellStyle name="Porcentual 5 11 2" xfId="2322" xr:uid="{00000000-0005-0000-0000-0000F2080000}"/>
    <cellStyle name="Porcentual 5 12" xfId="938" xr:uid="{00000000-0005-0000-0000-0000F3080000}"/>
    <cellStyle name="Porcentual 5 12 2" xfId="2323" xr:uid="{00000000-0005-0000-0000-0000F4080000}"/>
    <cellStyle name="Porcentual 5 13" xfId="1559" xr:uid="{00000000-0005-0000-0000-0000F5080000}"/>
    <cellStyle name="Porcentual 5 13 2" xfId="2324" xr:uid="{00000000-0005-0000-0000-0000F6080000}"/>
    <cellStyle name="Porcentual 5 14" xfId="1560" xr:uid="{00000000-0005-0000-0000-0000F7080000}"/>
    <cellStyle name="Porcentual 5 14 2" xfId="2325" xr:uid="{00000000-0005-0000-0000-0000F8080000}"/>
    <cellStyle name="Porcentual 5 15" xfId="1561" xr:uid="{00000000-0005-0000-0000-0000F9080000}"/>
    <cellStyle name="Porcentual 5 15 2" xfId="2326" xr:uid="{00000000-0005-0000-0000-0000FA080000}"/>
    <cellStyle name="Porcentual 5 2" xfId="528" xr:uid="{00000000-0005-0000-0000-0000FB080000}"/>
    <cellStyle name="Porcentual 5 2 2" xfId="939" xr:uid="{00000000-0005-0000-0000-0000FC080000}"/>
    <cellStyle name="Porcentual 5 2 2 2" xfId="940" xr:uid="{00000000-0005-0000-0000-0000FD080000}"/>
    <cellStyle name="Porcentual 5 2 2 2 2" xfId="941" xr:uid="{00000000-0005-0000-0000-0000FE080000}"/>
    <cellStyle name="Porcentual 5 2 2 2 2 2" xfId="1562" xr:uid="{00000000-0005-0000-0000-0000FF080000}"/>
    <cellStyle name="Porcentual 5 2 2 2 2 2 2" xfId="2327" xr:uid="{00000000-0005-0000-0000-000000090000}"/>
    <cellStyle name="Porcentual 5 2 2 2 2 3" xfId="2328" xr:uid="{00000000-0005-0000-0000-000001090000}"/>
    <cellStyle name="Porcentual 5 2 2 2 3" xfId="1563" xr:uid="{00000000-0005-0000-0000-000002090000}"/>
    <cellStyle name="Porcentual 5 2 2 2 3 2" xfId="2329" xr:uid="{00000000-0005-0000-0000-000003090000}"/>
    <cellStyle name="Porcentual 5 2 2 2 4" xfId="2330" xr:uid="{00000000-0005-0000-0000-000004090000}"/>
    <cellStyle name="Porcentual 5 2 2 3" xfId="942" xr:uid="{00000000-0005-0000-0000-000005090000}"/>
    <cellStyle name="Porcentual 5 2 2 3 2" xfId="1564" xr:uid="{00000000-0005-0000-0000-000006090000}"/>
    <cellStyle name="Porcentual 5 2 2 3 2 2" xfId="2331" xr:uid="{00000000-0005-0000-0000-000007090000}"/>
    <cellStyle name="Porcentual 5 2 2 3 3" xfId="2332" xr:uid="{00000000-0005-0000-0000-000008090000}"/>
    <cellStyle name="Porcentual 5 2 2 4" xfId="1565" xr:uid="{00000000-0005-0000-0000-000009090000}"/>
    <cellStyle name="Porcentual 5 2 2 4 2" xfId="2333" xr:uid="{00000000-0005-0000-0000-00000A090000}"/>
    <cellStyle name="Porcentual 5 2 2 5" xfId="2334" xr:uid="{00000000-0005-0000-0000-00000B090000}"/>
    <cellStyle name="Porcentual 5 2 3" xfId="943" xr:uid="{00000000-0005-0000-0000-00000C090000}"/>
    <cellStyle name="Porcentual 5 2 3 2" xfId="944" xr:uid="{00000000-0005-0000-0000-00000D090000}"/>
    <cellStyle name="Porcentual 5 2 3 2 2" xfId="1566" xr:uid="{00000000-0005-0000-0000-00000E090000}"/>
    <cellStyle name="Porcentual 5 2 3 2 2 2" xfId="2335" xr:uid="{00000000-0005-0000-0000-00000F090000}"/>
    <cellStyle name="Porcentual 5 2 3 2 3" xfId="2336" xr:uid="{00000000-0005-0000-0000-000010090000}"/>
    <cellStyle name="Porcentual 5 2 3 3" xfId="1567" xr:uid="{00000000-0005-0000-0000-000011090000}"/>
    <cellStyle name="Porcentual 5 2 3 3 2" xfId="2337" xr:uid="{00000000-0005-0000-0000-000012090000}"/>
    <cellStyle name="Porcentual 5 2 3 4" xfId="2338" xr:uid="{00000000-0005-0000-0000-000013090000}"/>
    <cellStyle name="Porcentual 5 2 4" xfId="945" xr:uid="{00000000-0005-0000-0000-000014090000}"/>
    <cellStyle name="Porcentual 5 2 4 2" xfId="1568" xr:uid="{00000000-0005-0000-0000-000015090000}"/>
    <cellStyle name="Porcentual 5 2 4 2 2" xfId="2339" xr:uid="{00000000-0005-0000-0000-000016090000}"/>
    <cellStyle name="Porcentual 5 2 4 3" xfId="2340" xr:uid="{00000000-0005-0000-0000-000017090000}"/>
    <cellStyle name="Porcentual 5 2 5" xfId="1569" xr:uid="{00000000-0005-0000-0000-000018090000}"/>
    <cellStyle name="Porcentual 5 2 5 2" xfId="2341" xr:uid="{00000000-0005-0000-0000-000019090000}"/>
    <cellStyle name="Porcentual 5 2 6" xfId="1570" xr:uid="{00000000-0005-0000-0000-00001A090000}"/>
    <cellStyle name="Porcentual 5 3" xfId="946" xr:uid="{00000000-0005-0000-0000-00001B090000}"/>
    <cellStyle name="Porcentual 5 3 2" xfId="947" xr:uid="{00000000-0005-0000-0000-00001C090000}"/>
    <cellStyle name="Porcentual 5 3 2 2" xfId="948" xr:uid="{00000000-0005-0000-0000-00001D090000}"/>
    <cellStyle name="Porcentual 5 3 2 2 2" xfId="949" xr:uid="{00000000-0005-0000-0000-00001E090000}"/>
    <cellStyle name="Porcentual 5 3 2 2 2 2" xfId="1571" xr:uid="{00000000-0005-0000-0000-00001F090000}"/>
    <cellStyle name="Porcentual 5 3 2 2 2 2 2" xfId="2342" xr:uid="{00000000-0005-0000-0000-000020090000}"/>
    <cellStyle name="Porcentual 5 3 2 2 2 3" xfId="2343" xr:uid="{00000000-0005-0000-0000-000021090000}"/>
    <cellStyle name="Porcentual 5 3 2 2 3" xfId="1572" xr:uid="{00000000-0005-0000-0000-000022090000}"/>
    <cellStyle name="Porcentual 5 3 2 2 3 2" xfId="2344" xr:uid="{00000000-0005-0000-0000-000023090000}"/>
    <cellStyle name="Porcentual 5 3 2 2 4" xfId="2345" xr:uid="{00000000-0005-0000-0000-000024090000}"/>
    <cellStyle name="Porcentual 5 3 2 3" xfId="950" xr:uid="{00000000-0005-0000-0000-000025090000}"/>
    <cellStyle name="Porcentual 5 3 2 3 2" xfId="1573" xr:uid="{00000000-0005-0000-0000-000026090000}"/>
    <cellStyle name="Porcentual 5 3 2 3 2 2" xfId="2346" xr:uid="{00000000-0005-0000-0000-000027090000}"/>
    <cellStyle name="Porcentual 5 3 2 3 3" xfId="2347" xr:uid="{00000000-0005-0000-0000-000028090000}"/>
    <cellStyle name="Porcentual 5 3 2 4" xfId="1574" xr:uid="{00000000-0005-0000-0000-000029090000}"/>
    <cellStyle name="Porcentual 5 3 2 4 2" xfId="2348" xr:uid="{00000000-0005-0000-0000-00002A090000}"/>
    <cellStyle name="Porcentual 5 3 2 5" xfId="2349" xr:uid="{00000000-0005-0000-0000-00002B090000}"/>
    <cellStyle name="Porcentual 5 3 3" xfId="951" xr:uid="{00000000-0005-0000-0000-00002C090000}"/>
    <cellStyle name="Porcentual 5 3 3 2" xfId="952" xr:uid="{00000000-0005-0000-0000-00002D090000}"/>
    <cellStyle name="Porcentual 5 3 3 2 2" xfId="1575" xr:uid="{00000000-0005-0000-0000-00002E090000}"/>
    <cellStyle name="Porcentual 5 3 3 2 2 2" xfId="2350" xr:uid="{00000000-0005-0000-0000-00002F090000}"/>
    <cellStyle name="Porcentual 5 3 3 2 3" xfId="2351" xr:uid="{00000000-0005-0000-0000-000030090000}"/>
    <cellStyle name="Porcentual 5 3 3 3" xfId="1576" xr:uid="{00000000-0005-0000-0000-000031090000}"/>
    <cellStyle name="Porcentual 5 3 3 3 2" xfId="2352" xr:uid="{00000000-0005-0000-0000-000032090000}"/>
    <cellStyle name="Porcentual 5 3 3 4" xfId="2353" xr:uid="{00000000-0005-0000-0000-000033090000}"/>
    <cellStyle name="Porcentual 5 3 4" xfId="953" xr:uid="{00000000-0005-0000-0000-000034090000}"/>
    <cellStyle name="Porcentual 5 3 4 2" xfId="1577" xr:uid="{00000000-0005-0000-0000-000035090000}"/>
    <cellStyle name="Porcentual 5 3 4 2 2" xfId="2354" xr:uid="{00000000-0005-0000-0000-000036090000}"/>
    <cellStyle name="Porcentual 5 3 4 3" xfId="2355" xr:uid="{00000000-0005-0000-0000-000037090000}"/>
    <cellStyle name="Porcentual 5 3 5" xfId="1578" xr:uid="{00000000-0005-0000-0000-000038090000}"/>
    <cellStyle name="Porcentual 5 3 5 2" xfId="2356" xr:uid="{00000000-0005-0000-0000-000039090000}"/>
    <cellStyle name="Porcentual 5 3 6" xfId="2357" xr:uid="{00000000-0005-0000-0000-00003A090000}"/>
    <cellStyle name="Porcentual 5 4" xfId="954" xr:uid="{00000000-0005-0000-0000-00003B090000}"/>
    <cellStyle name="Porcentual 5 4 2" xfId="955" xr:uid="{00000000-0005-0000-0000-00003C090000}"/>
    <cellStyle name="Porcentual 5 4 2 2" xfId="956" xr:uid="{00000000-0005-0000-0000-00003D090000}"/>
    <cellStyle name="Porcentual 5 4 2 2 2" xfId="957" xr:uid="{00000000-0005-0000-0000-00003E090000}"/>
    <cellStyle name="Porcentual 5 4 2 2 2 2" xfId="1579" xr:uid="{00000000-0005-0000-0000-00003F090000}"/>
    <cellStyle name="Porcentual 5 4 2 2 2 2 2" xfId="2358" xr:uid="{00000000-0005-0000-0000-000040090000}"/>
    <cellStyle name="Porcentual 5 4 2 2 2 3" xfId="2359" xr:uid="{00000000-0005-0000-0000-000041090000}"/>
    <cellStyle name="Porcentual 5 4 2 2 3" xfId="1580" xr:uid="{00000000-0005-0000-0000-000042090000}"/>
    <cellStyle name="Porcentual 5 4 2 2 3 2" xfId="2360" xr:uid="{00000000-0005-0000-0000-000043090000}"/>
    <cellStyle name="Porcentual 5 4 2 2 4" xfId="2361" xr:uid="{00000000-0005-0000-0000-000044090000}"/>
    <cellStyle name="Porcentual 5 4 2 3" xfId="958" xr:uid="{00000000-0005-0000-0000-000045090000}"/>
    <cellStyle name="Porcentual 5 4 2 3 2" xfId="1581" xr:uid="{00000000-0005-0000-0000-000046090000}"/>
    <cellStyle name="Porcentual 5 4 2 3 2 2" xfId="2362" xr:uid="{00000000-0005-0000-0000-000047090000}"/>
    <cellStyle name="Porcentual 5 4 2 3 3" xfId="2363" xr:uid="{00000000-0005-0000-0000-000048090000}"/>
    <cellStyle name="Porcentual 5 4 2 4" xfId="1582" xr:uid="{00000000-0005-0000-0000-000049090000}"/>
    <cellStyle name="Porcentual 5 4 2 4 2" xfId="2364" xr:uid="{00000000-0005-0000-0000-00004A090000}"/>
    <cellStyle name="Porcentual 5 4 2 5" xfId="2365" xr:uid="{00000000-0005-0000-0000-00004B090000}"/>
    <cellStyle name="Porcentual 5 4 3" xfId="959" xr:uid="{00000000-0005-0000-0000-00004C090000}"/>
    <cellStyle name="Porcentual 5 4 3 2" xfId="960" xr:uid="{00000000-0005-0000-0000-00004D090000}"/>
    <cellStyle name="Porcentual 5 4 3 2 2" xfId="1583" xr:uid="{00000000-0005-0000-0000-00004E090000}"/>
    <cellStyle name="Porcentual 5 4 3 2 2 2" xfId="2366" xr:uid="{00000000-0005-0000-0000-00004F090000}"/>
    <cellStyle name="Porcentual 5 4 3 2 3" xfId="2367" xr:uid="{00000000-0005-0000-0000-000050090000}"/>
    <cellStyle name="Porcentual 5 4 3 3" xfId="1584" xr:uid="{00000000-0005-0000-0000-000051090000}"/>
    <cellStyle name="Porcentual 5 4 3 3 2" xfId="2368" xr:uid="{00000000-0005-0000-0000-000052090000}"/>
    <cellStyle name="Porcentual 5 4 3 4" xfId="2369" xr:uid="{00000000-0005-0000-0000-000053090000}"/>
    <cellStyle name="Porcentual 5 4 4" xfId="961" xr:uid="{00000000-0005-0000-0000-000054090000}"/>
    <cellStyle name="Porcentual 5 4 4 2" xfId="1585" xr:uid="{00000000-0005-0000-0000-000055090000}"/>
    <cellStyle name="Porcentual 5 4 4 2 2" xfId="2370" xr:uid="{00000000-0005-0000-0000-000056090000}"/>
    <cellStyle name="Porcentual 5 4 4 3" xfId="2371" xr:uid="{00000000-0005-0000-0000-000057090000}"/>
    <cellStyle name="Porcentual 5 4 5" xfId="1586" xr:uid="{00000000-0005-0000-0000-000058090000}"/>
    <cellStyle name="Porcentual 5 4 5 2" xfId="2372" xr:uid="{00000000-0005-0000-0000-000059090000}"/>
    <cellStyle name="Porcentual 5 4 6" xfId="2373" xr:uid="{00000000-0005-0000-0000-00005A090000}"/>
    <cellStyle name="Porcentual 5 5" xfId="962" xr:uid="{00000000-0005-0000-0000-00005B090000}"/>
    <cellStyle name="Porcentual 5 5 2" xfId="963" xr:uid="{00000000-0005-0000-0000-00005C090000}"/>
    <cellStyle name="Porcentual 5 5 2 2" xfId="964" xr:uid="{00000000-0005-0000-0000-00005D090000}"/>
    <cellStyle name="Porcentual 5 5 2 2 2" xfId="965" xr:uid="{00000000-0005-0000-0000-00005E090000}"/>
    <cellStyle name="Porcentual 5 5 2 2 2 2" xfId="1587" xr:uid="{00000000-0005-0000-0000-00005F090000}"/>
    <cellStyle name="Porcentual 5 5 2 2 2 2 2" xfId="2374" xr:uid="{00000000-0005-0000-0000-000060090000}"/>
    <cellStyle name="Porcentual 5 5 2 2 2 3" xfId="2375" xr:uid="{00000000-0005-0000-0000-000061090000}"/>
    <cellStyle name="Porcentual 5 5 2 2 3" xfId="1588" xr:uid="{00000000-0005-0000-0000-000062090000}"/>
    <cellStyle name="Porcentual 5 5 2 2 3 2" xfId="2376" xr:uid="{00000000-0005-0000-0000-000063090000}"/>
    <cellStyle name="Porcentual 5 5 2 2 4" xfId="2377" xr:uid="{00000000-0005-0000-0000-000064090000}"/>
    <cellStyle name="Porcentual 5 5 2 3" xfId="966" xr:uid="{00000000-0005-0000-0000-000065090000}"/>
    <cellStyle name="Porcentual 5 5 2 3 2" xfId="1589" xr:uid="{00000000-0005-0000-0000-000066090000}"/>
    <cellStyle name="Porcentual 5 5 2 3 2 2" xfId="2378" xr:uid="{00000000-0005-0000-0000-000067090000}"/>
    <cellStyle name="Porcentual 5 5 2 3 3" xfId="2379" xr:uid="{00000000-0005-0000-0000-000068090000}"/>
    <cellStyle name="Porcentual 5 5 2 4" xfId="1590" xr:uid="{00000000-0005-0000-0000-000069090000}"/>
    <cellStyle name="Porcentual 5 5 2 4 2" xfId="2380" xr:uid="{00000000-0005-0000-0000-00006A090000}"/>
    <cellStyle name="Porcentual 5 5 2 5" xfId="2381" xr:uid="{00000000-0005-0000-0000-00006B090000}"/>
    <cellStyle name="Porcentual 5 5 3" xfId="967" xr:uid="{00000000-0005-0000-0000-00006C090000}"/>
    <cellStyle name="Porcentual 5 5 3 2" xfId="968" xr:uid="{00000000-0005-0000-0000-00006D090000}"/>
    <cellStyle name="Porcentual 5 5 3 2 2" xfId="1591" xr:uid="{00000000-0005-0000-0000-00006E090000}"/>
    <cellStyle name="Porcentual 5 5 3 2 2 2" xfId="2382" xr:uid="{00000000-0005-0000-0000-00006F090000}"/>
    <cellStyle name="Porcentual 5 5 3 2 3" xfId="2383" xr:uid="{00000000-0005-0000-0000-000070090000}"/>
    <cellStyle name="Porcentual 5 5 3 3" xfId="1592" xr:uid="{00000000-0005-0000-0000-000071090000}"/>
    <cellStyle name="Porcentual 5 5 3 3 2" xfId="2384" xr:uid="{00000000-0005-0000-0000-000072090000}"/>
    <cellStyle name="Porcentual 5 5 3 4" xfId="2385" xr:uid="{00000000-0005-0000-0000-000073090000}"/>
    <cellStyle name="Porcentual 5 5 4" xfId="969" xr:uid="{00000000-0005-0000-0000-000074090000}"/>
    <cellStyle name="Porcentual 5 5 4 2" xfId="1593" xr:uid="{00000000-0005-0000-0000-000075090000}"/>
    <cellStyle name="Porcentual 5 5 4 2 2" xfId="2386" xr:uid="{00000000-0005-0000-0000-000076090000}"/>
    <cellStyle name="Porcentual 5 5 4 3" xfId="2387" xr:uid="{00000000-0005-0000-0000-000077090000}"/>
    <cellStyle name="Porcentual 5 5 5" xfId="1594" xr:uid="{00000000-0005-0000-0000-000078090000}"/>
    <cellStyle name="Porcentual 5 5 5 2" xfId="2388" xr:uid="{00000000-0005-0000-0000-000079090000}"/>
    <cellStyle name="Porcentual 5 5 6" xfId="2389" xr:uid="{00000000-0005-0000-0000-00007A090000}"/>
    <cellStyle name="Porcentual 5 6" xfId="970" xr:uid="{00000000-0005-0000-0000-00007B090000}"/>
    <cellStyle name="Porcentual 5 6 2" xfId="971" xr:uid="{00000000-0005-0000-0000-00007C090000}"/>
    <cellStyle name="Porcentual 5 6 2 2" xfId="972" xr:uid="{00000000-0005-0000-0000-00007D090000}"/>
    <cellStyle name="Porcentual 5 6 2 2 2" xfId="973" xr:uid="{00000000-0005-0000-0000-00007E090000}"/>
    <cellStyle name="Porcentual 5 6 2 2 2 2" xfId="1595" xr:uid="{00000000-0005-0000-0000-00007F090000}"/>
    <cellStyle name="Porcentual 5 6 2 2 2 2 2" xfId="2390" xr:uid="{00000000-0005-0000-0000-000080090000}"/>
    <cellStyle name="Porcentual 5 6 2 2 2 3" xfId="2391" xr:uid="{00000000-0005-0000-0000-000081090000}"/>
    <cellStyle name="Porcentual 5 6 2 2 3" xfId="1596" xr:uid="{00000000-0005-0000-0000-000082090000}"/>
    <cellStyle name="Porcentual 5 6 2 2 3 2" xfId="2392" xr:uid="{00000000-0005-0000-0000-000083090000}"/>
    <cellStyle name="Porcentual 5 6 2 2 4" xfId="2393" xr:uid="{00000000-0005-0000-0000-000084090000}"/>
    <cellStyle name="Porcentual 5 6 2 3" xfId="974" xr:uid="{00000000-0005-0000-0000-000085090000}"/>
    <cellStyle name="Porcentual 5 6 2 3 2" xfId="1597" xr:uid="{00000000-0005-0000-0000-000086090000}"/>
    <cellStyle name="Porcentual 5 6 2 3 2 2" xfId="2394" xr:uid="{00000000-0005-0000-0000-000087090000}"/>
    <cellStyle name="Porcentual 5 6 2 3 3" xfId="2395" xr:uid="{00000000-0005-0000-0000-000088090000}"/>
    <cellStyle name="Porcentual 5 6 2 4" xfId="1598" xr:uid="{00000000-0005-0000-0000-000089090000}"/>
    <cellStyle name="Porcentual 5 6 2 4 2" xfId="2396" xr:uid="{00000000-0005-0000-0000-00008A090000}"/>
    <cellStyle name="Porcentual 5 6 2 5" xfId="2397" xr:uid="{00000000-0005-0000-0000-00008B090000}"/>
    <cellStyle name="Porcentual 5 6 3" xfId="975" xr:uid="{00000000-0005-0000-0000-00008C090000}"/>
    <cellStyle name="Porcentual 5 6 3 2" xfId="976" xr:uid="{00000000-0005-0000-0000-00008D090000}"/>
    <cellStyle name="Porcentual 5 6 3 2 2" xfId="1599" xr:uid="{00000000-0005-0000-0000-00008E090000}"/>
    <cellStyle name="Porcentual 5 6 3 2 2 2" xfId="2398" xr:uid="{00000000-0005-0000-0000-00008F090000}"/>
    <cellStyle name="Porcentual 5 6 3 2 3" xfId="2399" xr:uid="{00000000-0005-0000-0000-000090090000}"/>
    <cellStyle name="Porcentual 5 6 3 3" xfId="1600" xr:uid="{00000000-0005-0000-0000-000091090000}"/>
    <cellStyle name="Porcentual 5 6 3 3 2" xfId="2400" xr:uid="{00000000-0005-0000-0000-000092090000}"/>
    <cellStyle name="Porcentual 5 6 3 4" xfId="2401" xr:uid="{00000000-0005-0000-0000-000093090000}"/>
    <cellStyle name="Porcentual 5 6 4" xfId="977" xr:uid="{00000000-0005-0000-0000-000094090000}"/>
    <cellStyle name="Porcentual 5 6 4 2" xfId="1601" xr:uid="{00000000-0005-0000-0000-000095090000}"/>
    <cellStyle name="Porcentual 5 6 4 2 2" xfId="2402" xr:uid="{00000000-0005-0000-0000-000096090000}"/>
    <cellStyle name="Porcentual 5 6 4 3" xfId="2403" xr:uid="{00000000-0005-0000-0000-000097090000}"/>
    <cellStyle name="Porcentual 5 6 5" xfId="1602" xr:uid="{00000000-0005-0000-0000-000098090000}"/>
    <cellStyle name="Porcentual 5 6 5 2" xfId="2404" xr:uid="{00000000-0005-0000-0000-000099090000}"/>
    <cellStyle name="Porcentual 5 6 6" xfId="2405" xr:uid="{00000000-0005-0000-0000-00009A090000}"/>
    <cellStyle name="Porcentual 5 7" xfId="978" xr:uid="{00000000-0005-0000-0000-00009B090000}"/>
    <cellStyle name="Porcentual 5 7 2" xfId="979" xr:uid="{00000000-0005-0000-0000-00009C090000}"/>
    <cellStyle name="Porcentual 5 7 2 2" xfId="980" xr:uid="{00000000-0005-0000-0000-00009D090000}"/>
    <cellStyle name="Porcentual 5 7 2 2 2" xfId="981" xr:uid="{00000000-0005-0000-0000-00009E090000}"/>
    <cellStyle name="Porcentual 5 7 2 2 2 2" xfId="1603" xr:uid="{00000000-0005-0000-0000-00009F090000}"/>
    <cellStyle name="Porcentual 5 7 2 2 2 2 2" xfId="2406" xr:uid="{00000000-0005-0000-0000-0000A0090000}"/>
    <cellStyle name="Porcentual 5 7 2 2 2 3" xfId="2407" xr:uid="{00000000-0005-0000-0000-0000A1090000}"/>
    <cellStyle name="Porcentual 5 7 2 2 3" xfId="1604" xr:uid="{00000000-0005-0000-0000-0000A2090000}"/>
    <cellStyle name="Porcentual 5 7 2 2 3 2" xfId="2408" xr:uid="{00000000-0005-0000-0000-0000A3090000}"/>
    <cellStyle name="Porcentual 5 7 2 2 4" xfId="2409" xr:uid="{00000000-0005-0000-0000-0000A4090000}"/>
    <cellStyle name="Porcentual 5 7 2 3" xfId="982" xr:uid="{00000000-0005-0000-0000-0000A5090000}"/>
    <cellStyle name="Porcentual 5 7 2 3 2" xfId="1605" xr:uid="{00000000-0005-0000-0000-0000A6090000}"/>
    <cellStyle name="Porcentual 5 7 2 3 2 2" xfId="2410" xr:uid="{00000000-0005-0000-0000-0000A7090000}"/>
    <cellStyle name="Porcentual 5 7 2 3 3" xfId="2411" xr:uid="{00000000-0005-0000-0000-0000A8090000}"/>
    <cellStyle name="Porcentual 5 7 2 4" xfId="1606" xr:uid="{00000000-0005-0000-0000-0000A9090000}"/>
    <cellStyle name="Porcentual 5 7 2 4 2" xfId="2412" xr:uid="{00000000-0005-0000-0000-0000AA090000}"/>
    <cellStyle name="Porcentual 5 7 2 5" xfId="2413" xr:uid="{00000000-0005-0000-0000-0000AB090000}"/>
    <cellStyle name="Porcentual 5 7 3" xfId="983" xr:uid="{00000000-0005-0000-0000-0000AC090000}"/>
    <cellStyle name="Porcentual 5 7 3 2" xfId="984" xr:uid="{00000000-0005-0000-0000-0000AD090000}"/>
    <cellStyle name="Porcentual 5 7 3 2 2" xfId="1607" xr:uid="{00000000-0005-0000-0000-0000AE090000}"/>
    <cellStyle name="Porcentual 5 7 3 2 2 2" xfId="2414" xr:uid="{00000000-0005-0000-0000-0000AF090000}"/>
    <cellStyle name="Porcentual 5 7 3 2 3" xfId="2415" xr:uid="{00000000-0005-0000-0000-0000B0090000}"/>
    <cellStyle name="Porcentual 5 7 3 3" xfId="1608" xr:uid="{00000000-0005-0000-0000-0000B1090000}"/>
    <cellStyle name="Porcentual 5 7 3 3 2" xfId="2416" xr:uid="{00000000-0005-0000-0000-0000B2090000}"/>
    <cellStyle name="Porcentual 5 7 3 4" xfId="2417" xr:uid="{00000000-0005-0000-0000-0000B3090000}"/>
    <cellStyle name="Porcentual 5 7 4" xfId="985" xr:uid="{00000000-0005-0000-0000-0000B4090000}"/>
    <cellStyle name="Porcentual 5 7 4 2" xfId="1609" xr:uid="{00000000-0005-0000-0000-0000B5090000}"/>
    <cellStyle name="Porcentual 5 7 4 2 2" xfId="2418" xr:uid="{00000000-0005-0000-0000-0000B6090000}"/>
    <cellStyle name="Porcentual 5 7 4 3" xfId="2419" xr:uid="{00000000-0005-0000-0000-0000B7090000}"/>
    <cellStyle name="Porcentual 5 7 5" xfId="1610" xr:uid="{00000000-0005-0000-0000-0000B8090000}"/>
    <cellStyle name="Porcentual 5 7 5 2" xfId="2420" xr:uid="{00000000-0005-0000-0000-0000B9090000}"/>
    <cellStyle name="Porcentual 5 7 6" xfId="2421" xr:uid="{00000000-0005-0000-0000-0000BA090000}"/>
    <cellStyle name="Porcentual 5 8" xfId="986" xr:uid="{00000000-0005-0000-0000-0000BB090000}"/>
    <cellStyle name="Porcentual 5 8 2" xfId="987" xr:uid="{00000000-0005-0000-0000-0000BC090000}"/>
    <cellStyle name="Porcentual 5 8 2 2" xfId="988" xr:uid="{00000000-0005-0000-0000-0000BD090000}"/>
    <cellStyle name="Porcentual 5 8 2 2 2" xfId="1611" xr:uid="{00000000-0005-0000-0000-0000BE090000}"/>
    <cellStyle name="Porcentual 5 8 2 2 2 2" xfId="2422" xr:uid="{00000000-0005-0000-0000-0000BF090000}"/>
    <cellStyle name="Porcentual 5 8 2 2 3" xfId="2423" xr:uid="{00000000-0005-0000-0000-0000C0090000}"/>
    <cellStyle name="Porcentual 5 8 2 3" xfId="1612" xr:uid="{00000000-0005-0000-0000-0000C1090000}"/>
    <cellStyle name="Porcentual 5 8 2 3 2" xfId="2424" xr:uid="{00000000-0005-0000-0000-0000C2090000}"/>
    <cellStyle name="Porcentual 5 8 2 4" xfId="2425" xr:uid="{00000000-0005-0000-0000-0000C3090000}"/>
    <cellStyle name="Porcentual 5 8 3" xfId="989" xr:uid="{00000000-0005-0000-0000-0000C4090000}"/>
    <cellStyle name="Porcentual 5 8 3 2" xfId="1613" xr:uid="{00000000-0005-0000-0000-0000C5090000}"/>
    <cellStyle name="Porcentual 5 8 3 2 2" xfId="2426" xr:uid="{00000000-0005-0000-0000-0000C6090000}"/>
    <cellStyle name="Porcentual 5 8 3 3" xfId="2427" xr:uid="{00000000-0005-0000-0000-0000C7090000}"/>
    <cellStyle name="Porcentual 5 8 4" xfId="1614" xr:uid="{00000000-0005-0000-0000-0000C8090000}"/>
    <cellStyle name="Porcentual 5 8 4 2" xfId="2428" xr:uid="{00000000-0005-0000-0000-0000C9090000}"/>
    <cellStyle name="Porcentual 5 8 5" xfId="2429" xr:uid="{00000000-0005-0000-0000-0000CA090000}"/>
    <cellStyle name="Porcentual 5 9" xfId="990" xr:uid="{00000000-0005-0000-0000-0000CB090000}"/>
    <cellStyle name="Porcentual 5 9 2" xfId="991" xr:uid="{00000000-0005-0000-0000-0000CC090000}"/>
    <cellStyle name="Porcentual 5 9 2 2" xfId="1615" xr:uid="{00000000-0005-0000-0000-0000CD090000}"/>
    <cellStyle name="Porcentual 5 9 3" xfId="1616" xr:uid="{00000000-0005-0000-0000-0000CE090000}"/>
    <cellStyle name="Porcentual 6" xfId="992" xr:uid="{00000000-0005-0000-0000-0000CF090000}"/>
    <cellStyle name="Porcentual 6 2" xfId="993" xr:uid="{00000000-0005-0000-0000-0000D0090000}"/>
    <cellStyle name="Porcentual 6 2 2" xfId="994" xr:uid="{00000000-0005-0000-0000-0000D1090000}"/>
    <cellStyle name="Porcentual 6 2 2 2" xfId="995" xr:uid="{00000000-0005-0000-0000-0000D2090000}"/>
    <cellStyle name="Porcentual 6 2 2 2 2" xfId="996" xr:uid="{00000000-0005-0000-0000-0000D3090000}"/>
    <cellStyle name="Porcentual 6 2 2 2 2 2" xfId="2430" xr:uid="{00000000-0005-0000-0000-0000D4090000}"/>
    <cellStyle name="Porcentual 6 2 2 2 3" xfId="1617" xr:uid="{00000000-0005-0000-0000-0000D5090000}"/>
    <cellStyle name="Porcentual 6 2 2 2 3 2" xfId="1618" xr:uid="{00000000-0005-0000-0000-0000D6090000}"/>
    <cellStyle name="Porcentual 6 2 2 2 3 2 2" xfId="1619" xr:uid="{00000000-0005-0000-0000-0000D7090000}"/>
    <cellStyle name="Porcentual 6 2 2 2 3 2 2 2" xfId="1620" xr:uid="{00000000-0005-0000-0000-0000D8090000}"/>
    <cellStyle name="Porcentual 6 2 2 2 3 2 2 2 2" xfId="1621" xr:uid="{00000000-0005-0000-0000-0000D9090000}"/>
    <cellStyle name="Porcentual 6 2 2 2 3 2 2 2 2 2" xfId="1622" xr:uid="{00000000-0005-0000-0000-0000DA090000}"/>
    <cellStyle name="Porcentual 6 2 2 2 3 2 2 2 2 2 2" xfId="1623" xr:uid="{00000000-0005-0000-0000-0000DB090000}"/>
    <cellStyle name="Porcentual 6 2 2 2 3 2 2 2 2 2 2 2" xfId="1624" xr:uid="{00000000-0005-0000-0000-0000DC090000}"/>
    <cellStyle name="Porcentual 6 2 2 2 3 2 2 2 2 2 2 2 2" xfId="1625" xr:uid="{00000000-0005-0000-0000-0000DD090000}"/>
    <cellStyle name="Porcentual 6 2 2 2 3 2 2 2 2 2 2 2 2 2" xfId="1626" xr:uid="{00000000-0005-0000-0000-0000DE090000}"/>
    <cellStyle name="Porcentual 6 2 2 2 3 2 2 2 2 2 2 2 2 2 2" xfId="1627" xr:uid="{00000000-0005-0000-0000-0000DF090000}"/>
    <cellStyle name="Porcentual 6 2 2 2 3 2 2 2 2 2 2 2 2 2 2 2" xfId="1628" xr:uid="{00000000-0005-0000-0000-0000E0090000}"/>
    <cellStyle name="Porcentual 6 2 2 2 3 2 2 2 2 2 2 2 2 2 2 2 2" xfId="2431" xr:uid="{00000000-0005-0000-0000-0000E1090000}"/>
    <cellStyle name="Porcentual 6 2 2 2 3 2 2 2 2 2 2 2 2 2 2 3" xfId="2432" xr:uid="{00000000-0005-0000-0000-0000E2090000}"/>
    <cellStyle name="Porcentual 6 2 2 2 3 2 2 2 2 2 2 2 2 2 3" xfId="2433" xr:uid="{00000000-0005-0000-0000-0000E3090000}"/>
    <cellStyle name="Porcentual 6 2 2 2 3 2 2 2 2 2 2 2 2 3" xfId="2434" xr:uid="{00000000-0005-0000-0000-0000E4090000}"/>
    <cellStyle name="Porcentual 6 2 2 2 3 2 2 2 2 2 2 2 3" xfId="2435" xr:uid="{00000000-0005-0000-0000-0000E5090000}"/>
    <cellStyle name="Porcentual 6 2 2 2 3 2 2 2 2 2 2 3" xfId="2436" xr:uid="{00000000-0005-0000-0000-0000E6090000}"/>
    <cellStyle name="Porcentual 6 2 2 2 3 2 2 2 2 2 3" xfId="2437" xr:uid="{00000000-0005-0000-0000-0000E7090000}"/>
    <cellStyle name="Porcentual 6 2 2 2 3 2 2 2 2 3" xfId="2438" xr:uid="{00000000-0005-0000-0000-0000E8090000}"/>
    <cellStyle name="Porcentual 6 2 2 2 3 2 2 2 3" xfId="2439" xr:uid="{00000000-0005-0000-0000-0000E9090000}"/>
    <cellStyle name="Porcentual 6 2 2 2 3 2 2 3" xfId="2440" xr:uid="{00000000-0005-0000-0000-0000EA090000}"/>
    <cellStyle name="Porcentual 6 2 2 2 3 2 3" xfId="2441" xr:uid="{00000000-0005-0000-0000-0000EB090000}"/>
    <cellStyle name="Porcentual 6 2 2 2 3 3" xfId="2442" xr:uid="{00000000-0005-0000-0000-0000EC090000}"/>
    <cellStyle name="Porcentual 6 2 2 2 4" xfId="2443" xr:uid="{00000000-0005-0000-0000-0000ED090000}"/>
    <cellStyle name="Porcentual 6 2 2 3" xfId="2444" xr:uid="{00000000-0005-0000-0000-0000EE090000}"/>
    <cellStyle name="Porcentual 6 2 3" xfId="2445" xr:uid="{00000000-0005-0000-0000-0000EF090000}"/>
    <cellStyle name="Porcentual 6 3" xfId="997" xr:uid="{00000000-0005-0000-0000-0000F0090000}"/>
    <cellStyle name="Porcentual 6 3 2" xfId="2446" xr:uid="{00000000-0005-0000-0000-0000F1090000}"/>
    <cellStyle name="Porcentual 6 4" xfId="2447" xr:uid="{00000000-0005-0000-0000-0000F2090000}"/>
    <cellStyle name="Porcentual 7" xfId="998" xr:uid="{00000000-0005-0000-0000-0000F3090000}"/>
    <cellStyle name="Porcentual 7 2" xfId="999" xr:uid="{00000000-0005-0000-0000-0000F4090000}"/>
    <cellStyle name="Porcentual 7 2 2" xfId="2448" xr:uid="{00000000-0005-0000-0000-0000F5090000}"/>
    <cellStyle name="Porcentual 7 3" xfId="2449" xr:uid="{00000000-0005-0000-0000-0000F6090000}"/>
    <cellStyle name="Porcentual 8" xfId="1000" xr:uid="{00000000-0005-0000-0000-0000F7090000}"/>
    <cellStyle name="Porcentual 8 2" xfId="1001" xr:uid="{00000000-0005-0000-0000-0000F8090000}"/>
    <cellStyle name="Porcentual 8 2 2" xfId="2450" xr:uid="{00000000-0005-0000-0000-0000F9090000}"/>
    <cellStyle name="Porcentual 9" xfId="1002" xr:uid="{00000000-0005-0000-0000-0000FA090000}"/>
    <cellStyle name="Porcentual 9 2" xfId="1003" xr:uid="{00000000-0005-0000-0000-0000FB090000}"/>
    <cellStyle name="Porcentual 9 2 2" xfId="1004" xr:uid="{00000000-0005-0000-0000-0000FC090000}"/>
    <cellStyle name="Porcentual 9 2 2 2" xfId="1005" xr:uid="{00000000-0005-0000-0000-0000FD090000}"/>
    <cellStyle name="Porcentual 9 2 2 2 2" xfId="1006" xr:uid="{00000000-0005-0000-0000-0000FE090000}"/>
    <cellStyle name="Porcentual 9 2 2 2 2 2" xfId="1629" xr:uid="{00000000-0005-0000-0000-0000FF090000}"/>
    <cellStyle name="Porcentual 9 2 2 2 2 2 2" xfId="2451" xr:uid="{00000000-0005-0000-0000-0000000A0000}"/>
    <cellStyle name="Porcentual 9 2 2 2 2 3" xfId="2452" xr:uid="{00000000-0005-0000-0000-0000010A0000}"/>
    <cellStyle name="Porcentual 9 2 2 2 3" xfId="1630" xr:uid="{00000000-0005-0000-0000-0000020A0000}"/>
    <cellStyle name="Porcentual 9 2 2 2 3 2" xfId="2453" xr:uid="{00000000-0005-0000-0000-0000030A0000}"/>
    <cellStyle name="Porcentual 9 2 2 2 4" xfId="2454" xr:uid="{00000000-0005-0000-0000-0000040A0000}"/>
    <cellStyle name="Porcentual 9 2 2 3" xfId="1007" xr:uid="{00000000-0005-0000-0000-0000050A0000}"/>
    <cellStyle name="Porcentual 9 2 2 3 2" xfId="1631" xr:uid="{00000000-0005-0000-0000-0000060A0000}"/>
    <cellStyle name="Porcentual 9 2 2 3 2 2" xfId="2455" xr:uid="{00000000-0005-0000-0000-0000070A0000}"/>
    <cellStyle name="Porcentual 9 2 2 3 3" xfId="2456" xr:uid="{00000000-0005-0000-0000-0000080A0000}"/>
    <cellStyle name="Porcentual 9 2 2 4" xfId="1632" xr:uid="{00000000-0005-0000-0000-0000090A0000}"/>
    <cellStyle name="Porcentual 9 2 2 4 2" xfId="2457" xr:uid="{00000000-0005-0000-0000-00000A0A0000}"/>
    <cellStyle name="Porcentual 9 2 2 5" xfId="2458" xr:uid="{00000000-0005-0000-0000-00000B0A0000}"/>
    <cellStyle name="Porcentual 9 2 3" xfId="1008" xr:uid="{00000000-0005-0000-0000-00000C0A0000}"/>
    <cellStyle name="Porcentual 9 2 3 2" xfId="1009" xr:uid="{00000000-0005-0000-0000-00000D0A0000}"/>
    <cellStyle name="Porcentual 9 2 3 2 2" xfId="1633" xr:uid="{00000000-0005-0000-0000-00000E0A0000}"/>
    <cellStyle name="Porcentual 9 2 3 2 2 2" xfId="2459" xr:uid="{00000000-0005-0000-0000-00000F0A0000}"/>
    <cellStyle name="Porcentual 9 2 3 2 3" xfId="2460" xr:uid="{00000000-0005-0000-0000-0000100A0000}"/>
    <cellStyle name="Porcentual 9 2 3 3" xfId="1634" xr:uid="{00000000-0005-0000-0000-0000110A0000}"/>
    <cellStyle name="Porcentual 9 2 3 3 2" xfId="2461" xr:uid="{00000000-0005-0000-0000-0000120A0000}"/>
    <cellStyle name="Porcentual 9 2 3 4" xfId="2462" xr:uid="{00000000-0005-0000-0000-0000130A0000}"/>
    <cellStyle name="Porcentual 9 2 4" xfId="1010" xr:uid="{00000000-0005-0000-0000-0000140A0000}"/>
    <cellStyle name="Porcentual 9 2 4 2" xfId="1635" xr:uid="{00000000-0005-0000-0000-0000150A0000}"/>
    <cellStyle name="Porcentual 9 2 4 2 2" xfId="2463" xr:uid="{00000000-0005-0000-0000-0000160A0000}"/>
    <cellStyle name="Porcentual 9 2 4 3" xfId="2464" xr:uid="{00000000-0005-0000-0000-0000170A0000}"/>
    <cellStyle name="Porcentual 9 2 5" xfId="1011" xr:uid="{00000000-0005-0000-0000-0000180A0000}"/>
    <cellStyle name="Salida 2" xfId="529" xr:uid="{00000000-0005-0000-0000-0000190A0000}"/>
    <cellStyle name="Salida 2 2" xfId="530" xr:uid="{00000000-0005-0000-0000-00001A0A0000}"/>
    <cellStyle name="Salida 2 2 2" xfId="2539" xr:uid="{00000000-0005-0000-0000-00001B0A0000}"/>
    <cellStyle name="Salida 2 3" xfId="2526" xr:uid="{00000000-0005-0000-0000-00001C0A0000}"/>
    <cellStyle name="Texto de advertencia" xfId="547" builtinId="11" customBuiltin="1"/>
    <cellStyle name="Texto de advertencia 2" xfId="531" xr:uid="{00000000-0005-0000-0000-00001E0A0000}"/>
    <cellStyle name="Texto de advertencia 2 2" xfId="532" xr:uid="{00000000-0005-0000-0000-00001F0A0000}"/>
    <cellStyle name="Texto explicativo 2" xfId="533" xr:uid="{00000000-0005-0000-0000-0000200A0000}"/>
    <cellStyle name="Texto explicativo 2 2" xfId="534" xr:uid="{00000000-0005-0000-0000-0000210A0000}"/>
    <cellStyle name="Title" xfId="535" xr:uid="{00000000-0005-0000-0000-0000220A0000}"/>
    <cellStyle name="Title 2" xfId="536" xr:uid="{00000000-0005-0000-0000-0000230A0000}"/>
    <cellStyle name="Título 1 2" xfId="537" xr:uid="{00000000-0005-0000-0000-0000240A0000}"/>
    <cellStyle name="Título 1 2 2" xfId="538" xr:uid="{00000000-0005-0000-0000-0000250A0000}"/>
    <cellStyle name="Título 2 2" xfId="539" xr:uid="{00000000-0005-0000-0000-0000260A0000}"/>
    <cellStyle name="Título 2 2 2" xfId="540" xr:uid="{00000000-0005-0000-0000-0000270A0000}"/>
    <cellStyle name="Título 3 2" xfId="541" xr:uid="{00000000-0005-0000-0000-0000280A0000}"/>
    <cellStyle name="Título 3 2 2" xfId="542" xr:uid="{00000000-0005-0000-0000-0000290A0000}"/>
    <cellStyle name="Título 4" xfId="543" xr:uid="{00000000-0005-0000-0000-00002A0A0000}"/>
    <cellStyle name="Título 4 2" xfId="544" xr:uid="{00000000-0005-0000-0000-00002B0A0000}"/>
    <cellStyle name="Título 5" xfId="1136" xr:uid="{00000000-0005-0000-0000-00002C0A0000}"/>
    <cellStyle name="Total" xfId="1110" builtinId="25" customBuiltin="1"/>
    <cellStyle name="Total 2" xfId="545" xr:uid="{00000000-0005-0000-0000-00002E0A0000}"/>
    <cellStyle name="Total 2 2" xfId="546" xr:uid="{00000000-0005-0000-0000-00002F0A0000}"/>
    <cellStyle name="Total 2 2 2" xfId="573" xr:uid="{00000000-0005-0000-0000-0000300A0000}"/>
    <cellStyle name="Total 2 2 2 2" xfId="2541" xr:uid="{00000000-0005-0000-0000-0000310A0000}"/>
    <cellStyle name="Total 2 2 3" xfId="2540" xr:uid="{00000000-0005-0000-0000-0000320A0000}"/>
    <cellStyle name="Total 2 3" xfId="550" xr:uid="{00000000-0005-0000-0000-0000330A0000}"/>
    <cellStyle name="Total 2 3 2" xfId="2542" xr:uid="{00000000-0005-0000-0000-0000340A0000}"/>
    <cellStyle name="Total 2 4" xfId="2527" xr:uid="{00000000-0005-0000-0000-0000350A0000}"/>
    <cellStyle name="Warning Text 2" xfId="548" xr:uid="{00000000-0005-0000-0000-0000360A0000}"/>
  </cellStyles>
  <dxfs count="761">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strike val="0"/>
        <outline val="0"/>
        <shadow val="0"/>
        <u val="none"/>
        <vertAlign val="baseline"/>
        <sz val="12"/>
        <name val="Arial"/>
        <scheme val="none"/>
      </font>
      <numFmt numFmtId="171" formatCode="0.0%"/>
    </dxf>
    <dxf>
      <font>
        <b val="0"/>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bottom/>
      </border>
      <protection locked="1" hidden="0"/>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dxf>
    <dxf>
      <font>
        <strike val="0"/>
        <outline val="0"/>
        <shadow val="0"/>
        <u val="none"/>
        <vertAlign val="baseline"/>
        <sz val="12"/>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scheme val="minor"/>
      </font>
      <fill>
        <patternFill patternType="solid">
          <fgColor indexed="64"/>
          <bgColor rgb="FFFFFF00"/>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FFFF0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solid">
          <fgColor indexed="64"/>
          <bgColor rgb="FFFFFF00"/>
        </patternFill>
      </fill>
    </dxf>
    <dxf>
      <font>
        <strike val="0"/>
        <outline val="0"/>
        <shadow val="0"/>
        <u val="none"/>
        <vertAlign val="baseline"/>
        <sz val="11"/>
        <color theme="0"/>
        <name val="Calibri"/>
        <scheme val="minor"/>
      </font>
      <fill>
        <patternFill patternType="solid">
          <fgColor indexed="64"/>
          <bgColor rgb="FF00539B"/>
        </patternFill>
      </fill>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00FF"/>
      <color rgb="FFCC66FF"/>
      <color rgb="FF00539B"/>
      <color rgb="FFFF99FF"/>
      <color rgb="FF00A94F"/>
      <color rgb="FFFF66FF"/>
      <color rgb="FFFF3300"/>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externalLink" Target="externalLinks/externalLink8.xml"/><Relationship Id="rId134" Type="http://schemas.openxmlformats.org/officeDocument/2006/relationships/customXml" Target="../customXml/item8.xml"/><Relationship Id="rId139" Type="http://schemas.openxmlformats.org/officeDocument/2006/relationships/customXml" Target="../customXml/item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129"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4.xml"/><Relationship Id="rId145"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119" Type="http://schemas.openxmlformats.org/officeDocument/2006/relationships/externalLink" Target="externalLinks/externalLink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4.xml"/><Relationship Id="rId135" Type="http://schemas.openxmlformats.org/officeDocument/2006/relationships/customXml" Target="../customXml/item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0.xml"/><Relationship Id="rId125" Type="http://schemas.openxmlformats.org/officeDocument/2006/relationships/powerPivotData" Target="model/item.data"/><Relationship Id="rId141" Type="http://schemas.openxmlformats.org/officeDocument/2006/relationships/customXml" Target="../customXml/item15.xml"/><Relationship Id="rId146" Type="http://schemas.openxmlformats.org/officeDocument/2006/relationships/customXml" Target="../customXml/item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5.xml"/><Relationship Id="rId131" Type="http://schemas.openxmlformats.org/officeDocument/2006/relationships/customXml" Target="../customXml/item5.xml"/><Relationship Id="rId136" Type="http://schemas.openxmlformats.org/officeDocument/2006/relationships/customXml" Target="../customXml/item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147" Type="http://schemas.openxmlformats.org/officeDocument/2006/relationships/customXml" Target="../customXml/item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142"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6.xml"/><Relationship Id="rId137" Type="http://schemas.openxmlformats.org/officeDocument/2006/relationships/customXml" Target="../customXml/item1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32" Type="http://schemas.openxmlformats.org/officeDocument/2006/relationships/customXml" Target="../customXml/item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onnections" Target="connections.xml"/><Relationship Id="rId143"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2.xml"/><Relationship Id="rId133" Type="http://schemas.openxmlformats.org/officeDocument/2006/relationships/customXml" Target="../customXml/item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144"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93.xml"/><Relationship Id="rId1" Type="http://schemas.microsoft.com/office/2011/relationships/chartStyle" Target="style93.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0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6.xml"/><Relationship Id="rId1" Type="http://schemas.microsoft.com/office/2011/relationships/chartStyle" Target="style96.xml"/></Relationships>
</file>

<file path=xl/charts/_rels/chart10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99.xml"/><Relationship Id="rId1" Type="http://schemas.microsoft.com/office/2011/relationships/chartStyle" Target="style99.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00.xml"/><Relationship Id="rId1" Type="http://schemas.microsoft.com/office/2011/relationships/chartStyle" Target="style100.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01.xml"/><Relationship Id="rId1" Type="http://schemas.microsoft.com/office/2011/relationships/chartStyle" Target="style101.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03.xml"/><Relationship Id="rId1" Type="http://schemas.microsoft.com/office/2011/relationships/chartStyle" Target="style103.xml"/></Relationships>
</file>

<file path=xl/charts/_rels/chart11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06.xml"/><Relationship Id="rId1" Type="http://schemas.microsoft.com/office/2011/relationships/chartStyle" Target="style106.xml"/></Relationships>
</file>

<file path=xl/charts/_rels/chart115.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09.xml"/><Relationship Id="rId1" Type="http://schemas.microsoft.com/office/2011/relationships/chartStyle" Target="style109.xml"/></Relationships>
</file>

<file path=xl/charts/_rels/chart119.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2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113.xml"/><Relationship Id="rId1" Type="http://schemas.microsoft.com/office/2011/relationships/chartStyle" Target="style113.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4.xml"/><Relationship Id="rId1" Type="http://schemas.microsoft.com/office/2011/relationships/chartStyle" Target="style114.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5.xml"/><Relationship Id="rId1" Type="http://schemas.microsoft.com/office/2011/relationships/chartStyle" Target="style115.xml"/></Relationships>
</file>

<file path=xl/charts/_rels/chart125.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17.xml"/><Relationship Id="rId1" Type="http://schemas.microsoft.com/office/2011/relationships/chartStyle" Target="style117.xml"/></Relationships>
</file>

<file path=xl/charts/_rels/chart127.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19.xml"/><Relationship Id="rId1" Type="http://schemas.microsoft.com/office/2011/relationships/chartStyle" Target="style119.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0.xml"/><Relationship Id="rId1" Type="http://schemas.microsoft.com/office/2011/relationships/chartStyle" Target="style120.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2.xml"/><Relationship Id="rId1" Type="http://schemas.microsoft.com/office/2011/relationships/chartStyle" Target="style122.xml"/></Relationships>
</file>

<file path=xl/charts/_rels/chart13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78.xml"/><Relationship Id="rId2" Type="http://schemas.microsoft.com/office/2011/relationships/chartColorStyle" Target="colors124.xml"/><Relationship Id="rId1" Type="http://schemas.microsoft.com/office/2011/relationships/chartStyle" Target="style124.xml"/></Relationships>
</file>

<file path=xl/charts/_rels/chart13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26.xml"/><Relationship Id="rId1" Type="http://schemas.microsoft.com/office/2011/relationships/chartStyle" Target="style126.xml"/></Relationships>
</file>

<file path=xl/charts/_rels/chart13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90.xml"/><Relationship Id="rId2" Type="http://schemas.microsoft.com/office/2011/relationships/chartColorStyle" Target="colors128.xml"/><Relationship Id="rId1" Type="http://schemas.microsoft.com/office/2011/relationships/chartStyle" Target="style12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29.xml"/><Relationship Id="rId1" Type="http://schemas.microsoft.com/office/2011/relationships/chartStyle" Target="style12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30.xml"/><Relationship Id="rId1" Type="http://schemas.microsoft.com/office/2011/relationships/chartStyle" Target="style130.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131.xml"/><Relationship Id="rId1" Type="http://schemas.microsoft.com/office/2011/relationships/chartStyle" Target="style131.xml"/></Relationships>
</file>

<file path=xl/charts/_rels/chart143.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44.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2.xml"/><Relationship Id="rId1" Type="http://schemas.microsoft.com/office/2011/relationships/chartStyle" Target="style6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73.xml"/><Relationship Id="rId1" Type="http://schemas.microsoft.com/office/2011/relationships/chartStyle" Target="style7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74.xml"/><Relationship Id="rId1" Type="http://schemas.microsoft.com/office/2011/relationships/chartStyle" Target="style74.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75.xml"/><Relationship Id="rId1" Type="http://schemas.microsoft.com/office/2011/relationships/chartStyle" Target="style75.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76.xml"/><Relationship Id="rId1" Type="http://schemas.microsoft.com/office/2011/relationships/chartStyle" Target="style76.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77.xml"/><Relationship Id="rId1" Type="http://schemas.microsoft.com/office/2011/relationships/chartStyle" Target="style77.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0.xml"/><Relationship Id="rId1" Type="http://schemas.microsoft.com/office/2011/relationships/chartStyle" Target="style80.xml"/></Relationships>
</file>

<file path=xl/charts/_rels/chart88.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5.xml"/><Relationship Id="rId1" Type="http://schemas.microsoft.com/office/2011/relationships/chartStyle" Target="style85.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86.xml"/><Relationship Id="rId1" Type="http://schemas.microsoft.com/office/2011/relationships/chartStyle" Target="style86.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87.xml"/><Relationship Id="rId1" Type="http://schemas.microsoft.com/office/2011/relationships/chartStyle" Target="style87.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88.xml"/><Relationship Id="rId1" Type="http://schemas.microsoft.com/office/2011/relationships/chartStyle" Target="style88.xml"/></Relationships>
</file>

<file path=xl/charts/_rels/chart9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7.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91.xml"/><Relationship Id="rId1" Type="http://schemas.microsoft.com/office/2011/relationships/chartStyle" Target="style91.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92.xml"/><Relationship Id="rId1" Type="http://schemas.microsoft.com/office/2011/relationships/chartStyle" Target="style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09624024321546E-2"/>
          <c:y val="0.18708774144821017"/>
          <c:w val="0.93184511775555079"/>
          <c:h val="0.5119628299862660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35"/>
            <c:spPr>
              <a:solidFill>
                <a:schemeClr val="accent1">
                  <a:lumMod val="60000"/>
                </a:schemeClr>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831-B148-28EB9FB1718E}"/>
                </c:ext>
              </c:extLst>
            </c:dLbl>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'III.3.2. Afil anual SFS RS '!$H$5:$H$22</c15:sqref>
                  </c15:fullRef>
                </c:ext>
              </c:extLst>
              <c:f>'III.3.2. Afil anual SFS RS '!$H$12:$H$22</c:f>
              <c:numCache>
                <c:formatCode>_(* #,##0.00_);_(* \(#,##0.00\);_(* "-"??_);_(@_)</c:formatCode>
                <c:ptCount val="11"/>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0.18204006837978673</c:v>
                </c:pt>
                <c:pt idx="10">
                  <c:v>0.18130644780707048</c:v>
                </c:pt>
              </c:numCache>
            </c:numRef>
          </c:val>
          <c:smooth val="0"/>
          <c:extLst>
            <c:ext xmlns:c16="http://schemas.microsoft.com/office/drawing/2014/chart" uri="{C3380CC4-5D6E-409C-BE32-E72D297353CC}">
              <c16:uniqueId val="{00000001-620A-4831-B148-28EB9FB1718E}"/>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rgbClr val="00A94F"/>
              </a:solidFill>
              <a:round/>
            </a:ln>
            <a:effectLst/>
          </c:spPr>
          <c:marker>
            <c:symbol val="circle"/>
            <c:size val="35"/>
            <c:spPr>
              <a:solidFill>
                <a:srgbClr val="00A94F"/>
              </a:solidFill>
              <a:ln w="9525">
                <a:solidFill>
                  <a:schemeClr val="accent5"/>
                </a:solidFill>
              </a:ln>
              <a:effectLst/>
            </c:spPr>
          </c:marker>
          <c:dLbls>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'III.2.2. Afil. SFS RC Anual '!$I$5:$I$22</c15:sqref>
                  </c15:fullRef>
                </c:ext>
              </c:extLst>
              <c:f>'III.2.2. Afil. SFS RC Anual '!$I$12:$I$22</c:f>
              <c:numCache>
                <c:formatCode>_(* #,##0.00_);_(* \(#,##0.00\);_(* "-"??_);_(@_)</c:formatCode>
                <c:ptCount val="11"/>
                <c:pt idx="0">
                  <c:v>1.2065030251698892</c:v>
                </c:pt>
                <c:pt idx="1">
                  <c:v>1.2172961158754561</c:v>
                </c:pt>
                <c:pt idx="2">
                  <c:v>1.2097518964348666</c:v>
                </c:pt>
                <c:pt idx="3">
                  <c:v>1.2340962665090496</c:v>
                </c:pt>
                <c:pt idx="4">
                  <c:v>1.2357235834083216</c:v>
                </c:pt>
                <c:pt idx="5">
                  <c:v>1.2808027744723864</c:v>
                </c:pt>
                <c:pt idx="6">
                  <c:v>1.2223934183251974</c:v>
                </c:pt>
                <c:pt idx="7">
                  <c:v>1.1957499938725402</c:v>
                </c:pt>
                <c:pt idx="8">
                  <c:v>1.1818512902381599</c:v>
                </c:pt>
                <c:pt idx="9">
                  <c:v>1.1804657732046777</c:v>
                </c:pt>
                <c:pt idx="10">
                  <c:v>1.1671330719517214</c:v>
                </c:pt>
              </c:numCache>
            </c:numRef>
          </c:val>
          <c:smooth val="0"/>
          <c:extLst>
            <c:ext xmlns:c16="http://schemas.microsoft.com/office/drawing/2014/chart" uri="{C3380CC4-5D6E-409C-BE32-E72D297353CC}">
              <c16:uniqueId val="{00000000-620A-4831-B148-28EB9FB1718E}"/>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3.3270291393147744E-2"/>
          <c:y val="2.2487944479395904E-2"/>
          <c:w val="0.93608689929408173"/>
          <c:h val="6.0763848442338328E-2"/>
        </c:manualLayout>
      </c:layout>
      <c:overlay val="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0805103703354447"/>
          <c:y val="0.24792739890564527"/>
          <c:w val="0.41277929821879067"/>
          <c:h val="0.59546593440525819"/>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093-46EA-9BF9-0094C94CD144}"/>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093-46EA-9BF9-0094C94CD144}"/>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093-46EA-9BF9-0094C94CD144}"/>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093-46EA-9BF9-0094C94CD144}"/>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093-46EA-9BF9-0094C94CD144}"/>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093-46EA-9BF9-0094C94CD144}"/>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093-46EA-9BF9-0094C94CD144}"/>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093-46EA-9BF9-0094C94CD144}"/>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9093-46EA-9BF9-0094C94CD144}"/>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9093-46EA-9BF9-0094C94CD144}"/>
              </c:ext>
            </c:extLst>
          </c:dPt>
          <c:dLbls>
            <c:dLbl>
              <c:idx val="0"/>
              <c:layout>
                <c:manualLayout>
                  <c:x val="2.7096027374607253E-2"/>
                  <c:y val="-0.17685089736917214"/>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093-46EA-9BF9-0094C94CD144}"/>
                </c:ext>
              </c:extLst>
            </c:dLbl>
            <c:dLbl>
              <c:idx val="1"/>
              <c:layout>
                <c:manualLayout>
                  <c:x val="0.14313319679951145"/>
                  <c:y val="-9.4369491127041988E-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93-46EA-9BF9-0094C94CD144}"/>
                </c:ext>
              </c:extLst>
            </c:dLbl>
            <c:dLbl>
              <c:idx val="2"/>
              <c:layout>
                <c:manualLayout>
                  <c:x val="0.14057021951416007"/>
                  <c:y val="-2.1684602857478689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093-46EA-9BF9-0094C94CD144}"/>
                </c:ext>
              </c:extLst>
            </c:dLbl>
            <c:dLbl>
              <c:idx val="3"/>
              <c:layout>
                <c:manualLayout>
                  <c:x val="0.11177515169246817"/>
                  <c:y val="8.7443099463313356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093-46EA-9BF9-0094C94CD144}"/>
                </c:ext>
              </c:extLst>
            </c:dLbl>
            <c:dLbl>
              <c:idx val="4"/>
              <c:layout>
                <c:manualLayout>
                  <c:x val="-1.6152544744507984E-2"/>
                  <c:y val="0.14591608884710305"/>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093-46EA-9BF9-0094C94CD144}"/>
                </c:ext>
              </c:extLst>
            </c:dLbl>
            <c:dLbl>
              <c:idx val="5"/>
              <c:layout>
                <c:manualLayout>
                  <c:x val="-0.12225840509839339"/>
                  <c:y val="0.1124981951882879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093-46EA-9BF9-0094C94CD144}"/>
                </c:ext>
              </c:extLst>
            </c:dLbl>
            <c:dLbl>
              <c:idx val="6"/>
              <c:layout>
                <c:manualLayout>
                  <c:x val="-0.13922947434478608"/>
                  <c:y val="1.7334530944825823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093-46EA-9BF9-0094C94CD144}"/>
                </c:ext>
              </c:extLst>
            </c:dLbl>
            <c:dLbl>
              <c:idx val="7"/>
              <c:layout>
                <c:manualLayout>
                  <c:x val="-0.11994360559534256"/>
                  <c:y val="-4.2198456536216504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093-46EA-9BF9-0094C94CD144}"/>
                </c:ext>
              </c:extLst>
            </c:dLbl>
            <c:dLbl>
              <c:idx val="8"/>
              <c:layout>
                <c:manualLayout>
                  <c:x val="-0.14655353864288773"/>
                  <c:y val="-0.12798409527167315"/>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093-46EA-9BF9-0094C94CD144}"/>
                </c:ext>
              </c:extLst>
            </c:dLbl>
            <c:dLbl>
              <c:idx val="9"/>
              <c:layout>
                <c:manualLayout>
                  <c:x val="-0.10374043309206704"/>
                  <c:y val="-0.17869426769415017"/>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9093-46EA-9BF9-0094C94CD144}"/>
                </c:ext>
              </c:extLst>
            </c:dLbl>
            <c:spPr>
              <a:noFill/>
              <a:ln>
                <a:noFill/>
              </a:ln>
              <a:effectLst/>
            </c:spPr>
            <c:txPr>
              <a:bodyPr rot="0" spcFirstLastPara="1" vertOverflow="ellipsis" vert="horz" wrap="square" anchor="ctr" anchorCtr="1"/>
              <a:lstStyle/>
              <a:p>
                <a:pPr>
                  <a:defRPr sz="4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36384</c:v>
                </c:pt>
                <c:pt idx="1">
                  <c:v>254497</c:v>
                </c:pt>
                <c:pt idx="2">
                  <c:v>327033</c:v>
                </c:pt>
                <c:pt idx="3">
                  <c:v>341841</c:v>
                </c:pt>
                <c:pt idx="4">
                  <c:v>291985</c:v>
                </c:pt>
                <c:pt idx="5">
                  <c:v>251107</c:v>
                </c:pt>
                <c:pt idx="6">
                  <c:v>216068</c:v>
                </c:pt>
                <c:pt idx="7">
                  <c:v>172700</c:v>
                </c:pt>
                <c:pt idx="8">
                  <c:v>137437</c:v>
                </c:pt>
                <c:pt idx="9">
                  <c:v>197879</c:v>
                </c:pt>
              </c:numCache>
            </c:numRef>
          </c:val>
          <c:extLst>
            <c:ext xmlns:c16="http://schemas.microsoft.com/office/drawing/2014/chart" uri="{C3380CC4-5D6E-409C-BE32-E72D297353CC}">
              <c16:uniqueId val="{00000014-9093-46EA-9BF9-0094C94CD144}"/>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no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36384</c:v>
                </c:pt>
                <c:pt idx="1">
                  <c:v>254497</c:v>
                </c:pt>
                <c:pt idx="2">
                  <c:v>327033</c:v>
                </c:pt>
                <c:pt idx="3">
                  <c:v>341841</c:v>
                </c:pt>
                <c:pt idx="4">
                  <c:v>291985</c:v>
                </c:pt>
                <c:pt idx="5">
                  <c:v>251107</c:v>
                </c:pt>
                <c:pt idx="6">
                  <c:v>216068</c:v>
                </c:pt>
                <c:pt idx="7">
                  <c:v>172700</c:v>
                </c:pt>
                <c:pt idx="8">
                  <c:v>137437</c:v>
                </c:pt>
                <c:pt idx="9">
                  <c:v>197879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904386</c:v>
                </c:pt>
                <c:pt idx="1">
                  <c:v>837993</c:v>
                </c:pt>
                <c:pt idx="2">
                  <c:v>232602</c:v>
                </c:pt>
                <c:pt idx="3">
                  <c:v>135616</c:v>
                </c:pt>
                <c:pt idx="4">
                  <c:v>63522</c:v>
                </c:pt>
                <c:pt idx="5">
                  <c:v>21841</c:v>
                </c:pt>
                <c:pt idx="6">
                  <c:v>11990</c:v>
                </c:pt>
                <c:pt idx="7">
                  <c:v>10813</c:v>
                </c:pt>
                <c:pt idx="8">
                  <c:v>8168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2934309</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2458254</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1146994</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1079937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1146994</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1079937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2934309</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Abr.25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2458254</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Abr.2025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28253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432</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CA9-4BDA-9310-EBB496B79B1E}"/>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CA9-4BDA-9310-EBB496B79B1E}"/>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CA9-4BDA-9310-EBB496B79B1E}"/>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1192</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CA9-4BDA-9310-EBB496B79B1E}"/>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Abr.2025</c:v>
                </c:pt>
              </c:strCache>
              <c:extLst/>
            </c:strRef>
          </c:cat>
          <c:val>
            <c:numRef>
              <c:f>'III.5.9.Trasp. recibidos'!$B$16:$B$21</c:f>
              <c:numCache>
                <c:formatCode>_(* #,##0_);_(* \(#,##0\);_(* "-"_);_(@_)</c:formatCode>
                <c:ptCount val="6"/>
                <c:pt idx="0">
                  <c:v>4302</c:v>
                </c:pt>
                <c:pt idx="1">
                  <c:v>4168</c:v>
                </c:pt>
                <c:pt idx="2">
                  <c:v>4342</c:v>
                </c:pt>
                <c:pt idx="3">
                  <c:v>7908</c:v>
                </c:pt>
                <c:pt idx="4">
                  <c:v>8589</c:v>
                </c:pt>
                <c:pt idx="5">
                  <c:v>2305</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Abr.2025</c:v>
                </c:pt>
              </c:strCache>
              <c:extLst/>
            </c:strRef>
          </c:cat>
          <c:val>
            <c:numRef>
              <c:f>'III.5.9.Trasp. recibidos'!$C$16:$C$21</c:f>
              <c:numCache>
                <c:formatCode>_(* #,##0_);_(* \(#,##0\);_(* "-"_);_(@_)</c:formatCode>
                <c:ptCount val="6"/>
                <c:pt idx="0">
                  <c:v>6423</c:v>
                </c:pt>
                <c:pt idx="1">
                  <c:v>9156</c:v>
                </c:pt>
                <c:pt idx="2">
                  <c:v>10949</c:v>
                </c:pt>
                <c:pt idx="3">
                  <c:v>15328</c:v>
                </c:pt>
                <c:pt idx="4">
                  <c:v>19900</c:v>
                </c:pt>
                <c:pt idx="5">
                  <c:v>5975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Abr.2025</c:v>
                </c:pt>
              </c:strCache>
              <c:extLst/>
            </c:strRef>
          </c:cat>
          <c:val>
            <c:numRef>
              <c:f>'III.5.9.Trasp. recibidos'!$D$16:$D$21</c:f>
              <c:numCache>
                <c:formatCode>_(* #,##0_);_(* \(#,##0\);_(* "-"_);_(@_)</c:formatCode>
                <c:ptCount val="6"/>
                <c:pt idx="0">
                  <c:v>777</c:v>
                </c:pt>
                <c:pt idx="1">
                  <c:v>1668</c:v>
                </c:pt>
                <c:pt idx="2">
                  <c:v>2442</c:v>
                </c:pt>
                <c:pt idx="3">
                  <c:v>3775</c:v>
                </c:pt>
                <c:pt idx="4">
                  <c:v>2496</c:v>
                </c:pt>
                <c:pt idx="5">
                  <c:v>2607</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Abr.2025</c:v>
                </c:pt>
              </c:strCache>
              <c:extLst/>
            </c:strRef>
          </c:cat>
          <c:val>
            <c:numRef>
              <c:f>'III.5.9.Trasp. recibidos'!$E$16:$E$21</c:f>
              <c:numCache>
                <c:formatCode>_(* #,##0_);_(* \(#,##0\);_(* "-"_);_(@_)</c:formatCode>
                <c:ptCount val="6"/>
                <c:pt idx="0">
                  <c:v>3046</c:v>
                </c:pt>
                <c:pt idx="1">
                  <c:v>5713</c:v>
                </c:pt>
                <c:pt idx="2">
                  <c:v>7812</c:v>
                </c:pt>
                <c:pt idx="3">
                  <c:v>17661</c:v>
                </c:pt>
                <c:pt idx="4">
                  <c:v>12655</c:v>
                </c:pt>
                <c:pt idx="5">
                  <c:v>3315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Abr.2025</c:v>
                </c:pt>
              </c:strCache>
              <c:extLst/>
            </c:strRef>
          </c:cat>
          <c:val>
            <c:numRef>
              <c:f>'III.5.9.Trasp. recibidos'!$F$16:$F$21</c:f>
              <c:numCache>
                <c:formatCode>_(* #,##0_);_(* \(#,##0\);_(* "-"_);_(@_)</c:formatCode>
                <c:ptCount val="6"/>
                <c:pt idx="0">
                  <c:v>6734</c:v>
                </c:pt>
                <c:pt idx="1">
                  <c:v>8222</c:v>
                </c:pt>
                <c:pt idx="2">
                  <c:v>7363</c:v>
                </c:pt>
                <c:pt idx="3">
                  <c:v>14013</c:v>
                </c:pt>
                <c:pt idx="4">
                  <c:v>22272</c:v>
                </c:pt>
                <c:pt idx="5">
                  <c:v>7945</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Abr.2025</c:v>
                </c:pt>
              </c:strCache>
              <c:extLst/>
            </c:strRef>
          </c:cat>
          <c:val>
            <c:numRef>
              <c:f>'III.5.9.Trasp. recibidos'!$G$16:$G$21</c:f>
              <c:numCache>
                <c:formatCode>_(* #,##0_);_(* \(#,##0\);_(* "-"_);_(@_)</c:formatCode>
                <c:ptCount val="6"/>
                <c:pt idx="0">
                  <c:v>97</c:v>
                </c:pt>
                <c:pt idx="1">
                  <c:v>577</c:v>
                </c:pt>
                <c:pt idx="2">
                  <c:v>320</c:v>
                </c:pt>
                <c:pt idx="3">
                  <c:v>241</c:v>
                </c:pt>
                <c:pt idx="4">
                  <c:v>283</c:v>
                </c:pt>
                <c:pt idx="5">
                  <c:v>37</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Abr.2025</c:v>
                </c:pt>
              </c:strCache>
              <c:extLst/>
            </c:strRef>
          </c:cat>
          <c:val>
            <c:numRef>
              <c:f>'III.5.9.Trasp. recibidos'!$H$16:$H$21</c:f>
              <c:numCache>
                <c:formatCode>_(* #,##0_);_(* \(#,##0\);_(* "-"_);_(@_)</c:formatCode>
                <c:ptCount val="6"/>
                <c:pt idx="0">
                  <c:v>1553</c:v>
                </c:pt>
                <c:pt idx="1">
                  <c:v>4639</c:v>
                </c:pt>
                <c:pt idx="2">
                  <c:v>6675</c:v>
                </c:pt>
                <c:pt idx="3">
                  <c:v>11925</c:v>
                </c:pt>
                <c:pt idx="4">
                  <c:v>14909</c:v>
                </c:pt>
                <c:pt idx="5">
                  <c:v>4445</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Abr.2025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Abr.2025</c:v>
                </c:pt>
              </c:strCache>
              <c:extLst/>
            </c:strRef>
          </c:cat>
          <c:val>
            <c:numRef>
              <c:f>'III.5.10.Trasp. cedidos'!$B$15:$B$20</c:f>
              <c:numCache>
                <c:formatCode>_(* #,##0_);_(* \(#,##0\);_(* "-"??_);_(@_)</c:formatCode>
                <c:ptCount val="6"/>
                <c:pt idx="0">
                  <c:v>2517</c:v>
                </c:pt>
                <c:pt idx="1">
                  <c:v>2856</c:v>
                </c:pt>
                <c:pt idx="2">
                  <c:v>3210</c:v>
                </c:pt>
                <c:pt idx="3">
                  <c:v>5005</c:v>
                </c:pt>
                <c:pt idx="4">
                  <c:v>6403</c:v>
                </c:pt>
                <c:pt idx="5">
                  <c:v>1785</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Abr.2025</c:v>
                </c:pt>
              </c:strCache>
              <c:extLst/>
            </c:strRef>
          </c:cat>
          <c:val>
            <c:numRef>
              <c:f>'III.5.10.Trasp. cedidos'!$C$15:$C$20</c:f>
              <c:numCache>
                <c:formatCode>_(* #,##0_);_(* \(#,##0\);_(* "-"??_);_(@_)</c:formatCode>
                <c:ptCount val="6"/>
                <c:pt idx="0">
                  <c:v>5967</c:v>
                </c:pt>
                <c:pt idx="1">
                  <c:v>10077</c:v>
                </c:pt>
                <c:pt idx="2">
                  <c:v>17694</c:v>
                </c:pt>
                <c:pt idx="3">
                  <c:v>23793</c:v>
                </c:pt>
                <c:pt idx="4">
                  <c:v>24488</c:v>
                </c:pt>
                <c:pt idx="5">
                  <c:v>9013</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Abr.2025</c:v>
                </c:pt>
              </c:strCache>
              <c:extLst/>
            </c:strRef>
          </c:cat>
          <c:val>
            <c:numRef>
              <c:f>'III.5.10.Trasp. cedidos'!$D$15:$D$20</c:f>
              <c:numCache>
                <c:formatCode>_(* #,##0_);_(* \(#,##0\);_(* "-"??_);_(@_)</c:formatCode>
                <c:ptCount val="6"/>
                <c:pt idx="0">
                  <c:v>160</c:v>
                </c:pt>
                <c:pt idx="1">
                  <c:v>412</c:v>
                </c:pt>
                <c:pt idx="2">
                  <c:v>903</c:v>
                </c:pt>
                <c:pt idx="3">
                  <c:v>2712</c:v>
                </c:pt>
                <c:pt idx="4">
                  <c:v>2721</c:v>
                </c:pt>
                <c:pt idx="5">
                  <c:v>1228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Abr.2025</c:v>
                </c:pt>
              </c:strCache>
              <c:extLst/>
            </c:strRef>
          </c:cat>
          <c:val>
            <c:numRef>
              <c:f>'III.5.10.Trasp. cedidos'!$E$15:$E$20</c:f>
              <c:numCache>
                <c:formatCode>_(* #,##0_);_(* \(#,##0\);_(* "-"??_);_(@_)</c:formatCode>
                <c:ptCount val="6"/>
                <c:pt idx="0">
                  <c:v>5615</c:v>
                </c:pt>
                <c:pt idx="1">
                  <c:v>9305</c:v>
                </c:pt>
                <c:pt idx="2">
                  <c:v>18230</c:v>
                </c:pt>
                <c:pt idx="3">
                  <c:v>23171</c:v>
                </c:pt>
                <c:pt idx="4">
                  <c:v>26385</c:v>
                </c:pt>
                <c:pt idx="5">
                  <c:v>8467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Abr.2025</c:v>
                </c:pt>
              </c:strCache>
              <c:extLst/>
            </c:strRef>
          </c:cat>
          <c:val>
            <c:numRef>
              <c:f>'III.5.10.Trasp. cedidos'!$F$15:$F$20</c:f>
              <c:numCache>
                <c:formatCode>_(* #,##0_);_(* \(#,##0\);_(* "-"??_);_(@_)</c:formatCode>
                <c:ptCount val="6"/>
                <c:pt idx="0">
                  <c:v>3890</c:v>
                </c:pt>
                <c:pt idx="1">
                  <c:v>5337</c:v>
                </c:pt>
                <c:pt idx="2">
                  <c:v>9583</c:v>
                </c:pt>
                <c:pt idx="3">
                  <c:v>9605</c:v>
                </c:pt>
                <c:pt idx="4">
                  <c:v>11866</c:v>
                </c:pt>
                <c:pt idx="5">
                  <c:v>2807</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Abr.2025</c:v>
                </c:pt>
              </c:strCache>
              <c:extLst/>
            </c:strRef>
          </c:cat>
          <c:val>
            <c:numRef>
              <c:f>'III.5.10.Trasp. cedidos'!$G$15:$G$20</c:f>
              <c:numCache>
                <c:formatCode>_(* #,##0_);_(* \(#,##0\);_(* "-"??_);_(@_)</c:formatCode>
                <c:ptCount val="6"/>
                <c:pt idx="0">
                  <c:v>84</c:v>
                </c:pt>
                <c:pt idx="1">
                  <c:v>141</c:v>
                </c:pt>
                <c:pt idx="2">
                  <c:v>192</c:v>
                </c:pt>
                <c:pt idx="3">
                  <c:v>183</c:v>
                </c:pt>
                <c:pt idx="4">
                  <c:v>235</c:v>
                </c:pt>
                <c:pt idx="5">
                  <c:v>58</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Abr.2025</c:v>
                </c:pt>
              </c:strCache>
              <c:extLst/>
            </c:strRef>
          </c:cat>
          <c:val>
            <c:numRef>
              <c:f>'III.5.10.Trasp. cedidos'!$H$15:$H$20</c:f>
              <c:numCache>
                <c:formatCode>_(* #,##0_);_(* \(#,##0\);_(* "-"??_);_(@_)</c:formatCode>
                <c:ptCount val="6"/>
                <c:pt idx="0">
                  <c:v>4984</c:v>
                </c:pt>
                <c:pt idx="1">
                  <c:v>6784</c:v>
                </c:pt>
                <c:pt idx="2">
                  <c:v>12249</c:v>
                </c:pt>
                <c:pt idx="3">
                  <c:v>16780</c:v>
                </c:pt>
                <c:pt idx="4">
                  <c:v>18542</c:v>
                </c:pt>
                <c:pt idx="5">
                  <c:v>4762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Abr.2025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4</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680-4D3E-BEB6-296F5D356F50}"/>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680-4D3E-BEB6-296F5D356F50}"/>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122</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netos'!$D$16:$D$21</c:f>
              <c:numCache>
                <c:formatCode>#,##0_);[Red]\(#,##0\)</c:formatCode>
                <c:ptCount val="6"/>
                <c:pt idx="0">
                  <c:v>617</c:v>
                </c:pt>
                <c:pt idx="1">
                  <c:v>1256</c:v>
                </c:pt>
                <c:pt idx="2">
                  <c:v>1539</c:v>
                </c:pt>
                <c:pt idx="3">
                  <c:v>1063</c:v>
                </c:pt>
                <c:pt idx="4">
                  <c:v>-225</c:v>
                </c:pt>
                <c:pt idx="5">
                  <c:v>1379</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netos'!$E$16:$E$21</c:f>
              <c:numCache>
                <c:formatCode>#,##0_);[Red]\(#,##0\)</c:formatCode>
                <c:ptCount val="6"/>
                <c:pt idx="0">
                  <c:v>-2569</c:v>
                </c:pt>
                <c:pt idx="1">
                  <c:v>-3592</c:v>
                </c:pt>
                <c:pt idx="2">
                  <c:v>-10418</c:v>
                </c:pt>
                <c:pt idx="3">
                  <c:v>-5510</c:v>
                </c:pt>
                <c:pt idx="4">
                  <c:v>-13730</c:v>
                </c:pt>
                <c:pt idx="5">
                  <c:v>-5152</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netos'!$F$16:$F$21</c:f>
              <c:numCache>
                <c:formatCode>#,##0_);[Red]\(#,##0\)</c:formatCode>
                <c:ptCount val="6"/>
                <c:pt idx="0">
                  <c:v>2844</c:v>
                </c:pt>
                <c:pt idx="1">
                  <c:v>2885</c:v>
                </c:pt>
                <c:pt idx="2">
                  <c:v>-2220</c:v>
                </c:pt>
                <c:pt idx="3">
                  <c:v>4408</c:v>
                </c:pt>
                <c:pt idx="4">
                  <c:v>10406</c:v>
                </c:pt>
                <c:pt idx="5">
                  <c:v>5138</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netos'!$G$16:$G$21</c:f>
              <c:numCache>
                <c:formatCode>#,##0_);[Red]\(#,##0\)</c:formatCode>
                <c:ptCount val="6"/>
                <c:pt idx="0">
                  <c:v>13</c:v>
                </c:pt>
                <c:pt idx="1">
                  <c:v>436</c:v>
                </c:pt>
                <c:pt idx="2">
                  <c:v>128</c:v>
                </c:pt>
                <c:pt idx="3">
                  <c:v>58</c:v>
                </c:pt>
                <c:pt idx="4">
                  <c:v>48</c:v>
                </c:pt>
                <c:pt idx="5">
                  <c:v>-21</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netos'!$H$16:$H$21</c:f>
              <c:numCache>
                <c:formatCode>#,##0_);[Red]\(#,##0\)</c:formatCode>
                <c:ptCount val="6"/>
                <c:pt idx="0">
                  <c:v>-3431</c:v>
                </c:pt>
                <c:pt idx="1">
                  <c:v>-2145</c:v>
                </c:pt>
                <c:pt idx="2">
                  <c:v>-5574</c:v>
                </c:pt>
                <c:pt idx="3">
                  <c:v>-4855</c:v>
                </c:pt>
                <c:pt idx="4">
                  <c:v>-3633</c:v>
                </c:pt>
                <c:pt idx="5">
                  <c:v>-317</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Abr.2025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Abr.2025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3484244483142"/>
          <c:y val="0.31591443569553812"/>
          <c:w val="0.85274452281864721"/>
          <c:h val="0.49753459317585302"/>
        </c:manualLayout>
      </c:layout>
      <c:barChart>
        <c:barDir val="col"/>
        <c:grouping val="clustered"/>
        <c:varyColors val="0"/>
        <c:ser>
          <c:idx val="0"/>
          <c:order val="0"/>
          <c:tx>
            <c:strRef>
              <c:f>'IV.3.5.Patrim. fp anual'!$B$4</c:f>
              <c:strCache>
                <c:ptCount val="1"/>
                <c:pt idx="0">
                  <c:v>Patrimonio Fondos de Pensiones 
(RD$ Millones)</c:v>
                </c:pt>
              </c:strCache>
            </c:strRef>
          </c:tx>
          <c:spPr>
            <a:solidFill>
              <a:srgbClr val="00539B"/>
            </a:solidFill>
            <a:ln>
              <a:noFill/>
            </a:ln>
            <a:effectLst/>
          </c:spPr>
          <c:invertIfNegative val="0"/>
          <c:dLbls>
            <c:dLbl>
              <c:idx val="1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3B-4536-AB95-FE3CD42F2D44}"/>
                </c:ext>
              </c:extLst>
            </c:dLbl>
            <c:spPr>
              <a:noFill/>
              <a:ln>
                <a:noFill/>
              </a:ln>
              <a:effectLst/>
            </c:spPr>
            <c:txPr>
              <a:bodyPr rot="-5400000" spcFirstLastPara="1" vertOverflow="ellipsis" wrap="square" lIns="38100" tIns="19050" rIns="38100" bIns="19050" anchor="ctr" anchorCtr="1">
                <a:spAutoFit/>
              </a:bodyPr>
              <a:lstStyle/>
              <a:p>
                <a:pPr>
                  <a:defRPr sz="4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anual'!$A$5:$A$22</c15:sqref>
                  </c15:fullRef>
                </c:ext>
              </c:extLst>
              <c:f>'IV.3.5.Patrim. fp anual'!$A$12:$A$22</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'IV.3.5.Patrim. fp anual'!$B$5:$B$22</c15:sqref>
                  </c15:fullRef>
                </c:ext>
              </c:extLst>
              <c:f>'IV.3.5.Patrim. fp anual'!$B$12:$B$22</c:f>
              <c:numCache>
                <c:formatCode>_(* #,##0.00_);_(* \(#,##0.00\);_(* "-"??_);_(@_)</c:formatCode>
                <c:ptCount val="11"/>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1213344.006122</c:v>
                </c:pt>
                <c:pt idx="9">
                  <c:v>1397051.0850722701</c:v>
                </c:pt>
                <c:pt idx="10">
                  <c:v>1455467.2471073999</c:v>
                </c:pt>
              </c:numCache>
            </c:numRef>
          </c:val>
          <c:extLst>
            <c:ext xmlns:c16="http://schemas.microsoft.com/office/drawing/2014/chart" uri="{C3380CC4-5D6E-409C-BE32-E72D297353CC}">
              <c16:uniqueId val="{00000000-1880-4E2C-B18F-BA9D2996A4E6}"/>
            </c:ext>
          </c:extLst>
        </c:ser>
        <c:dLbls>
          <c:showLegendKey val="0"/>
          <c:showVal val="0"/>
          <c:showCatName val="0"/>
          <c:showSerName val="0"/>
          <c:showPercent val="0"/>
          <c:showBubbleSize val="0"/>
        </c:dLbls>
        <c:gapWidth val="60"/>
        <c:overlap val="-27"/>
        <c:axId val="690728480"/>
        <c:axId val="690730560"/>
      </c:barChart>
      <c:catAx>
        <c:axId val="69072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s-DO"/>
          </a:p>
        </c:txPr>
        <c:crossAx val="690730560"/>
        <c:crosses val="autoZero"/>
        <c:auto val="1"/>
        <c:lblAlgn val="ctr"/>
        <c:lblOffset val="100"/>
        <c:noMultiLvlLbl val="0"/>
      </c:catAx>
      <c:valAx>
        <c:axId val="690730560"/>
        <c:scaling>
          <c:orientation val="minMax"/>
        </c:scaling>
        <c:delete val="1"/>
        <c:axPos val="l"/>
        <c:numFmt formatCode="_(* #,##0.00_);_(* \(#,##0.00\);_(* &quot;-&quot;??_);_(@_)" sourceLinked="1"/>
        <c:majorTickMark val="none"/>
        <c:minorTickMark val="none"/>
        <c:tickLblPos val="nextTo"/>
        <c:crossAx val="690728480"/>
        <c:crosses val="autoZero"/>
        <c:crossBetween val="between"/>
      </c:valAx>
      <c:spPr>
        <a:noFill/>
        <a:ln>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netos'!$J$16:$J$21</c:f>
              <c:numCache>
                <c:formatCode>#,##0_);[Red]\(#,##0\)</c:formatCode>
                <c:ptCount val="6"/>
                <c:pt idx="0">
                  <c:v>423</c:v>
                </c:pt>
                <c:pt idx="1">
                  <c:v>888</c:v>
                </c:pt>
                <c:pt idx="2">
                  <c:v>1066</c:v>
                </c:pt>
                <c:pt idx="3">
                  <c:v>795</c:v>
                </c:pt>
                <c:pt idx="4">
                  <c:v>2436</c:v>
                </c:pt>
                <c:pt idx="5">
                  <c:v>425</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Abr.2025</c:v>
                </c:pt>
              </c:strCache>
              <c:extLst/>
            </c:strRef>
          </c:cat>
          <c:val>
            <c:numRef>
              <c:f>'III.5.11.Trasp. netos'!$L$16:$L$21</c:f>
              <c:numCache>
                <c:formatCode>#,##0_);[Red]\(#,##0\)</c:formatCode>
                <c:ptCount val="6"/>
                <c:pt idx="0">
                  <c:v>-5</c:v>
                </c:pt>
                <c:pt idx="1">
                  <c:v>-23</c:v>
                </c:pt>
                <c:pt idx="2">
                  <c:v>-15</c:v>
                </c:pt>
                <c:pt idx="3">
                  <c:v>-7</c:v>
                </c:pt>
                <c:pt idx="4">
                  <c:v>-8</c:v>
                </c:pt>
                <c:pt idx="5">
                  <c:v>-4</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Abr.2025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Abr.2025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2445484</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Abr.2025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2554953</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Abr.2025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r>
              <a:rPr lang="es-DO" sz="6000" cap="none" baseline="0">
                <a:solidFill>
                  <a:schemeClr val="accent3">
                    <a:lumMod val="50000"/>
                  </a:schemeClr>
                </a:solidFill>
              </a:rPr>
              <a:t>Afiliación al SRL por Grupo de Edad y Género</a:t>
            </a:r>
          </a:p>
        </c:rich>
      </c:tx>
      <c:layout>
        <c:manualLayout>
          <c:xMode val="edge"/>
          <c:yMode val="edge"/>
          <c:x val="0.30364534849810443"/>
          <c:y val="2.003338898163606E-2"/>
        </c:manualLayout>
      </c:layout>
      <c:overlay val="0"/>
      <c:spPr>
        <a:noFill/>
        <a:ln>
          <a:noFill/>
        </a:ln>
        <a:effectLst/>
      </c:spPr>
      <c:txPr>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3522861812557235"/>
          <c:w val="0.87378474773986581"/>
          <c:h val="0.8219033910410614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26970</c:v>
                </c:pt>
                <c:pt idx="1">
                  <c:v>161086</c:v>
                </c:pt>
                <c:pt idx="2">
                  <c:v>194282</c:v>
                </c:pt>
                <c:pt idx="3">
                  <c:v>201158</c:v>
                </c:pt>
                <c:pt idx="4">
                  <c:v>172301</c:v>
                </c:pt>
                <c:pt idx="5">
                  <c:v>149069</c:v>
                </c:pt>
                <c:pt idx="6">
                  <c:v>131248</c:v>
                </c:pt>
                <c:pt idx="7">
                  <c:v>106962</c:v>
                </c:pt>
                <c:pt idx="8">
                  <c:v>85540</c:v>
                </c:pt>
                <c:pt idx="9">
                  <c:v>57750</c:v>
                </c:pt>
                <c:pt idx="10">
                  <c:v>34674</c:v>
                </c:pt>
                <c:pt idx="11">
                  <c:v>19416</c:v>
                </c:pt>
                <c:pt idx="12">
                  <c:v>9318</c:v>
                </c:pt>
                <c:pt idx="13">
                  <c:v>3863</c:v>
                </c:pt>
                <c:pt idx="14">
                  <c:v>2542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-18440</c:v>
                </c:pt>
                <c:pt idx="1">
                  <c:v>-138670</c:v>
                </c:pt>
                <c:pt idx="2">
                  <c:v>-184317</c:v>
                </c:pt>
                <c:pt idx="3">
                  <c:v>-193641</c:v>
                </c:pt>
                <c:pt idx="4">
                  <c:v>-163757</c:v>
                </c:pt>
                <c:pt idx="5">
                  <c:v>-139015</c:v>
                </c:pt>
                <c:pt idx="6">
                  <c:v>-114413</c:v>
                </c:pt>
                <c:pt idx="7">
                  <c:v>-88065</c:v>
                </c:pt>
                <c:pt idx="8">
                  <c:v>-67948</c:v>
                </c:pt>
                <c:pt idx="9">
                  <c:v>-43495</c:v>
                </c:pt>
                <c:pt idx="10">
                  <c:v>-23305</c:v>
                </c:pt>
                <c:pt idx="11">
                  <c:v>-12406</c:v>
                </c:pt>
                <c:pt idx="12">
                  <c:v>-6401</c:v>
                </c:pt>
                <c:pt idx="13">
                  <c:v>-2839</c:v>
                </c:pt>
                <c:pt idx="14">
                  <c:v>-2061</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655.55021951480126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Abr.2025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6.5555021951480127E-3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80362423573.089981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81394592464.440002</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16092789896388E-2"/>
          <c:y val="0.24223580921145677"/>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26579152758.75</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46853466016.43</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28288931.530000001</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Abr.2025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Abr.2025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Abr.2025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Abr.2025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Abr.2025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Fondos Pagados Anualmente por Cuentas al SFS del RC</a:t>
            </a:r>
          </a:p>
        </c:rich>
      </c:tx>
      <c:layout>
        <c:manualLayout>
          <c:xMode val="edge"/>
          <c:yMode val="edge"/>
          <c:x val="0.14153724269249512"/>
          <c:y val="4.80769230769230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6508827523628156"/>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 Cuidado de la Salud </c:v>
                </c:pt>
                <c:pt idx="1">
                  <c:v> FONAMAT  </c:v>
                </c:pt>
                <c:pt idx="2">
                  <c:v> Subsidios  </c:v>
                </c:pt>
                <c:pt idx="3">
                  <c:v> Comisión SISALRIL </c:v>
                </c:pt>
              </c:strCache>
            </c:strRef>
          </c:cat>
          <c:val>
            <c:numRef>
              <c:f>'IV.2.2. Pagos SFS A'!$D$5:$D$8</c:f>
              <c:numCache>
                <c:formatCode>_(* #,##0.00_);_(* \(#,##0.00\);_(* "-"??_);_(@_)</c:formatCode>
                <c:ptCount val="4"/>
                <c:pt idx="0">
                  <c:v>128267949413.59</c:v>
                </c:pt>
                <c:pt idx="1">
                  <c:v>2451401029.5299997</c:v>
                </c:pt>
                <c:pt idx="2">
                  <c:v>6234758975.9799995</c:v>
                </c:pt>
                <c:pt idx="3">
                  <c:v>893898175.82999992</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098822566729289"/>
          <c:y val="0.10161283177602967"/>
          <c:w val="0.68327919092898159"/>
          <c:h val="0.73940743377373608"/>
        </c:manualLayout>
      </c:layout>
      <c:barChart>
        <c:barDir val="bar"/>
        <c:grouping val="clustered"/>
        <c:varyColors val="0"/>
        <c:ser>
          <c:idx val="0"/>
          <c:order val="0"/>
          <c:tx>
            <c:strRef>
              <c:f>'IV.2.4.Pagos x ARS'!$C$4</c:f>
              <c:strCache>
                <c:ptCount val="1"/>
                <c:pt idx="0">
                  <c:v>Total General
2022- Mar.25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78984301567.919998</c:v>
                </c:pt>
                <c:pt idx="1">
                  <c:v>101027098480.34</c:v>
                </c:pt>
                <c:pt idx="2">
                  <c:v>34074020683.290001</c:v>
                </c:pt>
                <c:pt idx="3">
                  <c:v>18109868672.18</c:v>
                </c:pt>
                <c:pt idx="4">
                  <c:v>9251795854.6900005</c:v>
                </c:pt>
                <c:pt idx="5">
                  <c:v>17167594394.73</c:v>
                </c:pt>
                <c:pt idx="6">
                  <c:v>5382272715.7600002</c:v>
                </c:pt>
                <c:pt idx="7">
                  <c:v>5198594029.3700008</c:v>
                </c:pt>
                <c:pt idx="8">
                  <c:v>6101061518.6900005</c:v>
                </c:pt>
                <c:pt idx="9">
                  <c:v>6518807335.6100006</c:v>
                </c:pt>
                <c:pt idx="10">
                  <c:v>3542691735.5999999</c:v>
                </c:pt>
                <c:pt idx="11">
                  <c:v>1741202877.03</c:v>
                </c:pt>
                <c:pt idx="12">
                  <c:v>1618374163.6300001</c:v>
                </c:pt>
                <c:pt idx="13">
                  <c:v>2575775033.1199999</c:v>
                </c:pt>
                <c:pt idx="14">
                  <c:v>2364364759.3199997</c:v>
                </c:pt>
                <c:pt idx="15">
                  <c:v>2877654915.77</c:v>
                </c:pt>
                <c:pt idx="16">
                  <c:v>485261756.27999997</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1198918249.05</c:v>
                </c:pt>
                <c:pt idx="1">
                  <c:v>756526872.90999997</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9792142917619"/>
          <c:y val="5.1267676361883334E-2"/>
          <c:w val="0.85642708533384537"/>
          <c:h val="0.86362593068723548"/>
        </c:manualLayout>
      </c:layout>
      <c:barChart>
        <c:barDir val="bar"/>
        <c:grouping val="clustered"/>
        <c:varyColors val="0"/>
        <c:ser>
          <c:idx val="0"/>
          <c:order val="0"/>
          <c:tx>
            <c:strRef>
              <c:f>'II.3. Empl x sector '!$J$4</c:f>
              <c:strCache>
                <c:ptCount val="1"/>
                <c:pt idx="0">
                  <c:v> Total  Empleados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'!$A$5:$A$22</c15:sqref>
                  </c15:fullRef>
                </c:ext>
              </c:extLst>
              <c:f>'II.3. Empl x sector '!$A$12:$A$22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Abr.25 </c:v>
                </c:pt>
              </c:strCache>
            </c:strRef>
          </c:cat>
          <c:val>
            <c:numRef>
              <c:extLst>
                <c:ext xmlns:c15="http://schemas.microsoft.com/office/drawing/2012/chart" uri="{02D57815-91ED-43cb-92C2-25804820EDAC}">
                  <c15:fullRef>
                    <c15:sqref>'II.3. Empl x sector '!$J$5:$J$22</c15:sqref>
                  </c15:fullRef>
                </c:ext>
              </c:extLst>
              <c:f>'II.3. Empl x sector '!$J$12:$J$22</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2554953</c:v>
                </c:pt>
              </c:numCache>
            </c:numRef>
          </c:val>
          <c:extLst>
            <c:ext xmlns:c16="http://schemas.microsoft.com/office/drawing/2014/chart" uri="{C3380CC4-5D6E-409C-BE32-E72D297353CC}">
              <c16:uniqueId val="{00000000-EE73-48FA-84EE-C03A171CE21D}"/>
            </c:ext>
          </c:extLst>
        </c:ser>
        <c:dLbls>
          <c:showLegendKey val="0"/>
          <c:showVal val="0"/>
          <c:showCatName val="0"/>
          <c:showSerName val="0"/>
          <c:showPercent val="0"/>
          <c:showBubbleSize val="0"/>
        </c:dLbls>
        <c:gapWidth val="60"/>
        <c:axId val="1553035167"/>
        <c:axId val="1553037247"/>
      </c:barChart>
      <c:catAx>
        <c:axId val="1553035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53037247"/>
        <c:crosses val="autoZero"/>
        <c:auto val="1"/>
        <c:lblAlgn val="ctr"/>
        <c:lblOffset val="100"/>
        <c:noMultiLvlLbl val="0"/>
      </c:catAx>
      <c:valAx>
        <c:axId val="1553037247"/>
        <c:scaling>
          <c:orientation val="minMax"/>
        </c:scaling>
        <c:delete val="1"/>
        <c:axPos val="b"/>
        <c:numFmt formatCode="_(* #,##0_);_(* \(#,##0\);_(* &quot;-&quot;??_);_(@_)" sourceLinked="1"/>
        <c:majorTickMark val="none"/>
        <c:minorTickMark val="none"/>
        <c:tickLblPos val="nextTo"/>
        <c:crossAx val="1553035167"/>
        <c:crosses val="autoZero"/>
        <c:crossBetween val="between"/>
      </c:valAx>
      <c:spPr>
        <a:solidFill>
          <a:schemeClr val="bg1"/>
        </a:solidFill>
        <a:ln>
          <a:noFill/>
        </a:ln>
        <a:effectLst/>
      </c:spPr>
    </c:plotArea>
    <c:plotVisOnly val="1"/>
    <c:dispBlanksAs val="gap"/>
    <c:showDLblsOverMax val="0"/>
  </c:chart>
  <c:spPr>
    <a:noFill/>
    <a:ln w="9525" cap="flat" cmpd="sng" algn="ctr">
      <a:noFill/>
      <a:round/>
    </a:ln>
    <a:effectLst/>
  </c:spPr>
  <c:txPr>
    <a:bodyPr/>
    <a:lstStyle/>
    <a:p>
      <a:pPr>
        <a:defRPr sz="3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195454136960625"/>
          <c:y val="0.26678595119207427"/>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3.0760434085260645E-2"/>
                  <c:y val="-3.2417100920190269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5.0495827778678191E-2"/>
                  <c:y val="-0.21142741564435041"/>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5051627388043851"/>
                  <c:y val="-0.105941212214905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RC </c:v>
                </c:pt>
              </c:strCache>
            </c:strRef>
          </c:cat>
          <c:val>
            <c:numRef>
              <c:f>'IV.2.8.INV_SFS x cuentas'!$B$5:$B$10</c:f>
              <c:numCache>
                <c:formatCode>_(* #,##0.00_);_(* \(#,##0.00\);_(* "-"??_);_(@_)</c:formatCode>
                <c:ptCount val="6"/>
                <c:pt idx="0">
                  <c:v>2410445121.96</c:v>
                </c:pt>
                <c:pt idx="1">
                  <c:v>4217886515.9499998</c:v>
                </c:pt>
                <c:pt idx="2">
                  <c:v>444175957.56</c:v>
                </c:pt>
                <c:pt idx="3">
                  <c:v>129899296.78</c:v>
                </c:pt>
                <c:pt idx="4">
                  <c:v>191332438.27000001</c:v>
                </c:pt>
                <c:pt idx="5">
                  <c:v>185651104.31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16959796264558E-2"/>
          <c:y val="0.14970434018485873"/>
          <c:w val="0.91789002929694996"/>
          <c:h val="0.73718324662583823"/>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6198407333.3199997</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7637610930.5600004</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4657446501730498"/>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781988803.13999999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34538897860.049995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Abril 2025</c:v>
                </c:pt>
              </c:strCache>
            </c:strRef>
          </c:cat>
          <c:val>
            <c:numRef>
              <c:f>'IV.3.3.Pagos anuales x cuentas'!$B$14:$E$14</c:f>
              <c:numCache>
                <c:formatCode>_(* #,##0.00_);_(* \(#,##0.00\);_(* "-"??_);_(@_)</c:formatCode>
                <c:ptCount val="4"/>
                <c:pt idx="0">
                  <c:v>80245785891.580017</c:v>
                </c:pt>
                <c:pt idx="1">
                  <c:v>89113603543.489975</c:v>
                </c:pt>
                <c:pt idx="2">
                  <c:v>99668069831.23999</c:v>
                </c:pt>
                <c:pt idx="3">
                  <c:v>34538897860.049995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Abril 2025</c:v>
                </c:pt>
              </c:strCache>
            </c:strRef>
          </c:cat>
          <c:val>
            <c:numRef>
              <c:f>'IV.3.3.Pagos anuales x cuentas'!$B$5:$E$5</c:f>
              <c:numCache>
                <c:formatCode>_(* #,##0.00_);_(* \(#,##0.00\);_(* "-"??_);_(@_)</c:formatCode>
                <c:ptCount val="4"/>
                <c:pt idx="0">
                  <c:v>64516667631.620003</c:v>
                </c:pt>
                <c:pt idx="1">
                  <c:v>72515503134.449997</c:v>
                </c:pt>
                <c:pt idx="2">
                  <c:v>81223400245.509995</c:v>
                </c:pt>
                <c:pt idx="3">
                  <c:v>28121598444.849998</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 Abril 2025</c:v>
                </c:pt>
              </c:strCache>
            </c:strRef>
          </c:cat>
          <c:val>
            <c:numRef>
              <c:f>'IV.3.3.Pagos anuales x cuentas'!$B$9:$E$9</c:f>
              <c:numCache>
                <c:formatCode>_(* #,##0.00_);_(* \(#,##0.00\);_(* "-"??_);_(@_)</c:formatCode>
                <c:ptCount val="4"/>
                <c:pt idx="0">
                  <c:v>534942027.41000003</c:v>
                </c:pt>
                <c:pt idx="1">
                  <c:v>550668409.03999996</c:v>
                </c:pt>
                <c:pt idx="2">
                  <c:v>623677440.78999996</c:v>
                </c:pt>
                <c:pt idx="3">
                  <c:v>220731945.37</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Abril 2025</c:v>
                </c:pt>
              </c:strCache>
            </c:strRef>
          </c:cat>
          <c:val>
            <c:numRef>
              <c:f>'IV.3.3.Pagos anuales x cuentas'!$B$13:$E$13</c:f>
              <c:numCache>
                <c:formatCode>_(* #,##0.00_);_(* \(#,##0.00\);_(* "-"??_);_(@_)</c:formatCode>
                <c:ptCount val="4"/>
                <c:pt idx="0">
                  <c:v>330441648.19999999</c:v>
                </c:pt>
                <c:pt idx="1">
                  <c:v>372362585.42000002</c:v>
                </c:pt>
                <c:pt idx="2">
                  <c:v>415402047.5</c:v>
                </c:pt>
                <c:pt idx="3">
                  <c:v>143102159.77000001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Abril 2025</c:v>
                </c:pt>
              </c:strCache>
            </c:strRef>
          </c:cat>
          <c:val>
            <c:numRef>
              <c:f>'IV.3.3.Pagos anuales x cuentas'!$B$8:$E$8</c:f>
              <c:numCache>
                <c:formatCode>_(* #,##0.00_);_(* \(#,##0.00\);_(* "-"??_);_(@_)</c:formatCode>
                <c:ptCount val="4"/>
                <c:pt idx="0">
                  <c:v>299922059.91000003</c:v>
                </c:pt>
                <c:pt idx="1">
                  <c:v>328081703.39999998</c:v>
                </c:pt>
                <c:pt idx="2">
                  <c:v>354482605.56999999</c:v>
                </c:pt>
                <c:pt idx="3">
                  <c:v>125880699.20999999</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Abril 2025</c:v>
                </c:pt>
              </c:strCache>
            </c:strRef>
          </c:cat>
          <c:val>
            <c:numRef>
              <c:f>'IV.3.3.Pagos anuales x cuentas'!$B$11:$E$11</c:f>
              <c:numCache>
                <c:formatCode>_(* #,##0.00_);_(* \(#,##0.00\);_(* "-"??_);_(@_)</c:formatCode>
                <c:ptCount val="4"/>
                <c:pt idx="0">
                  <c:v>3070768143.7399998</c:v>
                </c:pt>
                <c:pt idx="1">
                  <c:v>3418154271.48</c:v>
                </c:pt>
                <c:pt idx="2">
                  <c:v>3820529252.0700002</c:v>
                </c:pt>
                <c:pt idx="3">
                  <c:v>1320909338.75</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Abril 2025</c:v>
                </c:pt>
              </c:strCache>
            </c:strRef>
          </c:cat>
          <c:val>
            <c:numRef>
              <c:f>'IV.3.3.Pagos anuales x cuentas'!$B$12:$E$12</c:f>
              <c:numCache>
                <c:formatCode>_(* #,##0.00_);_(* \(#,##0.00\);_(* "-"??_);_(@_)</c:formatCode>
                <c:ptCount val="4"/>
                <c:pt idx="0">
                  <c:v>660867082.09000003</c:v>
                </c:pt>
                <c:pt idx="1">
                  <c:v>744719455.63999999</c:v>
                </c:pt>
                <c:pt idx="2">
                  <c:v>830780103.28999996</c:v>
                </c:pt>
                <c:pt idx="3">
                  <c:v>286194918.24000001</c:v>
                </c:pt>
              </c:numCache>
            </c:numRef>
          </c:val>
          <c:extLst>
            <c:ext xmlns:c16="http://schemas.microsoft.com/office/drawing/2014/chart" uri="{C3380CC4-5D6E-409C-BE32-E72D297353CC}">
              <c16:uniqueId val="{00000011-C43E-441D-B8EC-B37D5A24814D}"/>
            </c:ext>
          </c:extLst>
        </c:ser>
        <c:ser>
          <c:idx val="7"/>
          <c:order val="7"/>
          <c:tx>
            <c:strRef>
              <c:f>'IV.3.3.Pagos anuales x cuentas'!#REF!</c:f>
              <c:strCache>
                <c:ptCount val="1"/>
                <c:pt idx="0">
                  <c:v>#¡REF!</c:v>
                </c:pt>
              </c:strCache>
            </c:strRef>
          </c:tx>
          <c:spPr>
            <a:solidFill>
              <a:schemeClr val="accent3">
                <a:lumMod val="80000"/>
                <a:lumOff val="20000"/>
              </a:schemeClr>
            </a:solidFill>
            <a:ln>
              <a:noFill/>
            </a:ln>
            <a:effectLst/>
            <a:sp3d/>
          </c:spPr>
          <c:invertIfNegative val="0"/>
          <c:cat>
            <c:strRef>
              <c:f>'IV.3.3.Pagos anuales x cuentas'!$B$4:$E$4</c:f>
              <c:strCache>
                <c:ptCount val="4"/>
                <c:pt idx="0">
                  <c:v>2022</c:v>
                </c:pt>
                <c:pt idx="1">
                  <c:v>2023</c:v>
                </c:pt>
                <c:pt idx="2">
                  <c:v>2024</c:v>
                </c:pt>
                <c:pt idx="3">
                  <c:v>Enero - Abril 2025</c:v>
                </c:pt>
              </c:strCache>
            </c:strRef>
          </c:cat>
          <c:val>
            <c:numRef>
              <c:f>'IV.3.3.Pagos anuales x cuentas'!#REF!</c:f>
              <c:numCache>
                <c:formatCode>General</c:formatCode>
                <c:ptCount val="1"/>
                <c:pt idx="0">
                  <c:v>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 Abril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5.354361846507108E-2"/>
          <c:y val="6.9506175919173296E-2"/>
          <c:w val="0.8705942988374753"/>
          <c:h val="4.529699762464524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80251257949.800003</c:v>
                </c:pt>
                <c:pt idx="1">
                  <c:v>57054674960.710007</c:v>
                </c:pt>
                <c:pt idx="2">
                  <c:v>49917913069.669998</c:v>
                </c:pt>
                <c:pt idx="3">
                  <c:v>47816118817.770004</c:v>
                </c:pt>
                <c:pt idx="4">
                  <c:v>40959521564.470001</c:v>
                </c:pt>
                <c:pt idx="5">
                  <c:v>11482113619.419998</c:v>
                </c:pt>
                <c:pt idx="6">
                  <c:v>2103023987.8800001</c:v>
                </c:pt>
                <c:pt idx="7">
                  <c:v>2090370924.28</c:v>
                </c:pt>
                <c:pt idx="8">
                  <c:v>1145002809.6400001</c:v>
                </c:pt>
                <c:pt idx="9">
                  <c:v>616029780.13999999</c:v>
                </c:pt>
                <c:pt idx="10">
                  <c:v>1169317883.3199999</c:v>
                </c:pt>
                <c:pt idx="11">
                  <c:v>3864787694.2500005</c:v>
                </c:pt>
                <c:pt idx="12">
                  <c:v>1626153669.0599999</c:v>
                </c:pt>
                <c:pt idx="13">
                  <c:v>2278761554.6599998</c:v>
                </c:pt>
                <c:pt idx="14">
                  <c:v>1191310721.4399998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0.11364332029576628"/>
          <c:w val="0.92575689842129694"/>
          <c:h val="0.7048993427722111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B-447B-9A42-094B11E1D155}"/>
                </c:ext>
              </c:extLst>
            </c:dLbl>
            <c:dLbl>
              <c:idx val="15"/>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Abr.2025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1455467.2471073999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Abr.2025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0.19380745985856865</c:v>
                </c:pt>
                <c:pt idx="14">
                  <c:v>0.20484562046214005</c:v>
                </c:pt>
                <c:pt idx="15">
                  <c:v>0.21341101712787752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7540182428685"/>
          <c:y val="0.22496715087649685"/>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325192340323512"/>
                  <c:y val="2.80989504838752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604193862191.69995</c:v>
                </c:pt>
                <c:pt idx="1">
                  <c:v>243583964496.66</c:v>
                </c:pt>
                <c:pt idx="2">
                  <c:v>91024126361.479996</c:v>
                </c:pt>
                <c:pt idx="3">
                  <c:v>22794191710.690002</c:v>
                </c:pt>
                <c:pt idx="4">
                  <c:v>578528909</c:v>
                </c:pt>
                <c:pt idx="5">
                  <c:v>28366297022.850002</c:v>
                </c:pt>
                <c:pt idx="6">
                  <c:v>56667099670.329994</c:v>
                </c:pt>
                <c:pt idx="7">
                  <c:v>194918390067.44998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45748</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45748</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9.6000000000000002E-2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45748</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9.6000000000000002E-2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45748</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3.7100000000000001E-2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45748</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5.8900000000000001E-2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0349467538502822"/>
          <c:y val="0.29848912031157393"/>
          <c:w val="0.43604954142636931"/>
          <c:h val="0.60853749293996473"/>
        </c:manualLayout>
      </c:layout>
      <c:doughnutChart>
        <c:varyColors val="1"/>
        <c:ser>
          <c:idx val="0"/>
          <c:order val="0"/>
          <c:explosion val="2"/>
          <c:dPt>
            <c:idx val="0"/>
            <c:bubble3D val="0"/>
            <c:spPr>
              <a:solidFill>
                <a:srgbClr val="00A94F"/>
              </a:solidFill>
              <a:ln w="19050">
                <a:solidFill>
                  <a:schemeClr val="lt1"/>
                </a:solidFill>
              </a:ln>
              <a:effectLst/>
            </c:spPr>
            <c:extLst>
              <c:ext xmlns:c16="http://schemas.microsoft.com/office/drawing/2014/chart" uri="{C3380CC4-5D6E-409C-BE32-E72D297353CC}">
                <c16:uniqueId val="{00000001-D44D-46C2-9AEA-E4D721A9A9E5}"/>
              </c:ext>
            </c:extLst>
          </c:dPt>
          <c:dPt>
            <c:idx val="1"/>
            <c:bubble3D val="0"/>
            <c:spPr>
              <a:solidFill>
                <a:srgbClr val="00539B"/>
              </a:solidFill>
              <a:ln w="19050">
                <a:solidFill>
                  <a:schemeClr val="lt1"/>
                </a:solidFill>
              </a:ln>
              <a:effectLst/>
            </c:spPr>
            <c:extLst>
              <c:ext xmlns:c16="http://schemas.microsoft.com/office/drawing/2014/chart" uri="{C3380CC4-5D6E-409C-BE32-E72D297353CC}">
                <c16:uniqueId val="{00000003-D44D-46C2-9AEA-E4D721A9A9E5}"/>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D44D-46C2-9AEA-E4D721A9A9E5}"/>
              </c:ext>
            </c:extLst>
          </c:dPt>
          <c:dLbls>
            <c:dLbl>
              <c:idx val="0"/>
              <c:layout>
                <c:manualLayout>
                  <c:x val="0.15129448296058071"/>
                  <c:y val="-5.3221157758447436E-17"/>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44D-46C2-9AEA-E4D721A9A9E5}"/>
                </c:ext>
              </c:extLst>
            </c:dLbl>
            <c:dLbl>
              <c:idx val="1"/>
              <c:layout>
                <c:manualLayout>
                  <c:x val="-0.15120620023507161"/>
                  <c:y val="7.549095019191950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44D-46C2-9AEA-E4D721A9A9E5}"/>
                </c:ext>
              </c:extLst>
            </c:dLbl>
            <c:dLbl>
              <c:idx val="2"/>
              <c:layout>
                <c:manualLayout>
                  <c:x val="-4.8102526982333541E-2"/>
                  <c:y val="-0.17006180679028027"/>
                </c:manualLayout>
              </c:layout>
              <c:tx>
                <c:rich>
                  <a:bodyPr/>
                  <a:lstStyle/>
                  <a:p>
                    <a:fld id="{CDF86AEC-E997-46EE-BF5D-2C3B3CA9B89E}" type="CATEGORYNAME">
                      <a:rPr lang="en-US"/>
                      <a:pPr/>
                      <a:t>[]</a:t>
                    </a:fld>
                    <a:r>
                      <a:rPr lang="en-US" baseline="0"/>
                      <a:t> </a:t>
                    </a:r>
                    <a:fld id="{8CB2C22C-D771-435A-85D5-4D47E7CAE479}" type="VALUE">
                      <a:rPr lang="en-US" baseline="0"/>
                      <a:pPr/>
                      <a:t>[]</a:t>
                    </a:fld>
                    <a:endParaRPr lang="en-US" baseline="0"/>
                  </a:p>
                  <a:p>
                    <a:r>
                      <a:rPr lang="en-US" baseline="0"/>
                      <a:t> </a:t>
                    </a:r>
                    <a:fld id="{29F68EB9-ADB9-4618-9B32-16D946C31AF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D44D-46C2-9AEA-E4D721A9A9E5}"/>
                </c:ext>
              </c:extLst>
            </c:dLbl>
            <c:numFmt formatCode="0.00%" sourceLinked="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'III.1.4.Afil. SFS'!$B$4:$D$4</c:f>
              <c:strCache>
                <c:ptCount val="3"/>
                <c:pt idx="0">
                  <c:v> Afiliación  RC </c:v>
                </c:pt>
                <c:pt idx="1">
                  <c:v> Afiliación RS </c:v>
                </c:pt>
                <c:pt idx="2">
                  <c:v> Pensionados </c:v>
                </c:pt>
              </c:strCache>
            </c:strRef>
          </c:cat>
          <c:val>
            <c:numRef>
              <c:f>'III.1.4.Afil. SFS'!$B$22:$D$22</c:f>
              <c:numCache>
                <c:formatCode>_(* #,##0_);_(* \(#,##0\);_(* "-"??_);_(@_)</c:formatCode>
                <c:ptCount val="3"/>
                <c:pt idx="0">
                  <c:v>4750230</c:v>
                </c:pt>
                <c:pt idx="1">
                  <c:v>5697226</c:v>
                </c:pt>
                <c:pt idx="2">
                  <c:v>116976</c:v>
                </c:pt>
              </c:numCache>
            </c:numRef>
          </c:val>
          <c:extLst>
            <c:ext xmlns:c16="http://schemas.microsoft.com/office/drawing/2014/chart" uri="{C3380CC4-5D6E-409C-BE32-E72D297353CC}">
              <c16:uniqueId val="{00000006-D44D-46C2-9AEA-E4D721A9A9E5}"/>
            </c:ext>
          </c:extLst>
        </c:ser>
        <c:dLbls>
          <c:showLegendKey val="0"/>
          <c:showVal val="0"/>
          <c:showCatName val="0"/>
          <c:showSerName val="0"/>
          <c:showPercent val="0"/>
          <c:showBubbleSize val="0"/>
          <c:showLeaderLines val="0"/>
        </c:dLbls>
        <c:firstSliceAng val="0"/>
        <c:holeSize val="50"/>
      </c:doughnutChart>
      <c:spPr>
        <a:noFill/>
        <a:ln>
          <a:noFill/>
        </a:ln>
        <a:effectLst/>
      </c:spPr>
    </c:plotArea>
    <c:legend>
      <c:legendPos val="b"/>
      <c:layout>
        <c:manualLayout>
          <c:xMode val="edge"/>
          <c:yMode val="edge"/>
          <c:x val="0.13772965879265089"/>
          <c:y val="4.041467934787725E-2"/>
          <c:w val="0.73799359721290447"/>
          <c:h val="7.0696431763233897E-2"/>
        </c:manualLayout>
      </c:layout>
      <c:overlay val="0"/>
      <c:spPr>
        <a:noFill/>
        <a:ln>
          <a:noFill/>
        </a:ln>
        <a:effectLst/>
      </c:spPr>
      <c:txPr>
        <a:bodyPr rot="0" spcFirstLastPara="1" vertOverflow="ellipsis" vert="horz" wrap="square" anchor="ctr" anchorCtr="1"/>
        <a:lstStyle/>
        <a:p>
          <a:pPr rtl="0">
            <a:defRPr sz="3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4400"/>
      </a:pPr>
      <a:endParaRPr lang="es-DO"/>
    </a:p>
  </c:txPr>
  <c:printSettings>
    <c:headerFooter/>
    <c:pageMargins b="0.75" l="0.7" r="0.7" t="0.75"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1157294490809.5701</c:v>
                </c:pt>
                <c:pt idx="1">
                  <c:v>161208251958.686</c:v>
                </c:pt>
                <c:pt idx="2">
                  <c:v>85903129377.960007</c:v>
                </c:pt>
                <c:pt idx="3">
                  <c:v>50811497187.029999</c:v>
                </c:pt>
                <c:pt idx="4">
                  <c:v>249877774.15000001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Abr.2025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3358327662.4299998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9C0-4ABA-BE89-CFAEED523219}"/>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9C0-4ABA-BE89-CFAEED523219}"/>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9C0-4ABA-BE89-CFAEED523219}"/>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Abr.2025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146133909.41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Abr.2025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2810540.23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Abr.25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481</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Abr.25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552</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Abr.25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7</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Abr.25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92641222465059991"/>
          <c:h val="0.48995457245152707"/>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13361</c:v>
                </c:pt>
                <c:pt idx="1">
                  <c:v>4846</c:v>
                </c:pt>
                <c:pt idx="2">
                  <c:v>16262</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757579158803985E-2"/>
          <c:y val="0.17511055225137223"/>
          <c:w val="0.93166876616589356"/>
          <c:h val="0.64198836451776298"/>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16603</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146</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7688</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709</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3299</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573</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219</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2917</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243</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1101</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Abr.2025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188118</c:v>
                </c:pt>
                <c:pt idx="1">
                  <c:v>116558</c:v>
                </c:pt>
                <c:pt idx="2">
                  <c:v>53349</c:v>
                </c:pt>
                <c:pt idx="3">
                  <c:v>59037</c:v>
                </c:pt>
                <c:pt idx="4">
                  <c:v>33929</c:v>
                </c:pt>
                <c:pt idx="5">
                  <c:v>18367</c:v>
                </c:pt>
                <c:pt idx="6">
                  <c:v>20871</c:v>
                </c:pt>
                <c:pt idx="7">
                  <c:v>16813</c:v>
                </c:pt>
                <c:pt idx="8">
                  <c:v>14160</c:v>
                </c:pt>
                <c:pt idx="9">
                  <c:v>10348</c:v>
                </c:pt>
                <c:pt idx="10">
                  <c:v>11861</c:v>
                </c:pt>
                <c:pt idx="11">
                  <c:v>10841</c:v>
                </c:pt>
                <c:pt idx="12">
                  <c:v>7677</c:v>
                </c:pt>
                <c:pt idx="13">
                  <c:v>6458</c:v>
                </c:pt>
                <c:pt idx="14">
                  <c:v>5618</c:v>
                </c:pt>
                <c:pt idx="15">
                  <c:v>5805</c:v>
                </c:pt>
                <c:pt idx="16">
                  <c:v>4399</c:v>
                </c:pt>
                <c:pt idx="17">
                  <c:v>3265</c:v>
                </c:pt>
                <c:pt idx="18">
                  <c:v>3173</c:v>
                </c:pt>
                <c:pt idx="19">
                  <c:v>4015</c:v>
                </c:pt>
                <c:pt idx="20">
                  <c:v>3071</c:v>
                </c:pt>
                <c:pt idx="21">
                  <c:v>3525</c:v>
                </c:pt>
                <c:pt idx="22">
                  <c:v>2886</c:v>
                </c:pt>
                <c:pt idx="23">
                  <c:v>2879</c:v>
                </c:pt>
                <c:pt idx="24">
                  <c:v>3984</c:v>
                </c:pt>
                <c:pt idx="25">
                  <c:v>3213</c:v>
                </c:pt>
                <c:pt idx="26">
                  <c:v>1214</c:v>
                </c:pt>
                <c:pt idx="27">
                  <c:v>1939</c:v>
                </c:pt>
                <c:pt idx="28">
                  <c:v>549</c:v>
                </c:pt>
                <c:pt idx="29">
                  <c:v>1487</c:v>
                </c:pt>
                <c:pt idx="30">
                  <c:v>954</c:v>
                </c:pt>
                <c:pt idx="31">
                  <c:v>729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3481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13268</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899403284612"/>
          <c:y val="4.9164052857940677E-2"/>
          <c:w val="0.68492037673694539"/>
          <c:h val="0.87460648486378068"/>
        </c:manualLayout>
      </c:layout>
      <c:barChart>
        <c:barDir val="bar"/>
        <c:grouping val="clustered"/>
        <c:varyColors val="0"/>
        <c:ser>
          <c:idx val="0"/>
          <c:order val="0"/>
          <c:spPr>
            <a:solidFill>
              <a:srgbClr val="00A94F"/>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mn-lt"/>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1157294490809.5701</c:v>
                </c:pt>
                <c:pt idx="1">
                  <c:v>161208251958.686</c:v>
                </c:pt>
                <c:pt idx="2">
                  <c:v>85903129377.960007</c:v>
                </c:pt>
                <c:pt idx="3">
                  <c:v>50811497187.029999</c:v>
                </c:pt>
                <c:pt idx="4">
                  <c:v>249877774.15000001</c:v>
                </c:pt>
              </c:numCache>
            </c:numRef>
          </c:val>
          <c:extLst>
            <c:ext xmlns:c16="http://schemas.microsoft.com/office/drawing/2014/chart" uri="{C3380CC4-5D6E-409C-BE32-E72D297353CC}">
              <c16:uniqueId val="{00000000-AD2C-453E-B520-DB8ACC0F0AD0}"/>
            </c:ext>
          </c:extLst>
        </c:ser>
        <c:dLbls>
          <c:showLegendKey val="0"/>
          <c:showVal val="0"/>
          <c:showCatName val="0"/>
          <c:showSerName val="0"/>
          <c:showPercent val="0"/>
          <c:showBubbleSize val="0"/>
        </c:dLbls>
        <c:gapWidth val="12"/>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baseline="0">
                <a:solidFill>
                  <a:sysClr val="windowText" lastClr="000000"/>
                </a:solidFill>
                <a:latin typeface="+mn-lt"/>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400">
          <a:solidFill>
            <a:sysClr val="windowText" lastClr="000000"/>
          </a:solidFill>
          <a:latin typeface="+mn-lt"/>
          <a:cs typeface="Arial" panose="020B0604020202020204" pitchFamily="34" charset="0"/>
        </a:defRPr>
      </a:pPr>
      <a:endParaRPr lang="es-DO"/>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layout>
        <c:manualLayout>
          <c:xMode val="edge"/>
          <c:yMode val="edge"/>
          <c:x val="0.21265530478972958"/>
          <c:y val="4.569893827332859E-2"/>
        </c:manualLayout>
      </c:layout>
      <c:overlay val="0"/>
    </c:title>
    <c:autoTitleDeleted val="0"/>
    <c:plotArea>
      <c:layout>
        <c:manualLayout>
          <c:layoutTarget val="inner"/>
          <c:xMode val="edge"/>
          <c:yMode val="edge"/>
          <c:x val="3.3882502933973907E-2"/>
          <c:y val="0.18234668006209301"/>
          <c:w val="0.93670166020322065"/>
          <c:h val="0.62368327685136471"/>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0.39309809540868113</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0.60690190459131887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694044926"/>
          <c:y val="8.564754675864987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19969741652655E-2"/>
          <c:y val="0.15786859548480137"/>
          <c:w val="0.90611821748167154"/>
          <c:h val="0.74677222155091882"/>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Abr.2025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244</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Abr.2025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5924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Abr.2025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5061</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Abr.2025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2995</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Abr.2025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1817</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Abr.2025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708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19573461188E-2"/>
          <c:y val="6.1323744994310848E-2"/>
          <c:w val="0.86350236954084636"/>
          <c:h val="4.025394103702866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3686</c:v>
                </c:pt>
                <c:pt idx="1">
                  <c:v>17848</c:v>
                </c:pt>
                <c:pt idx="2">
                  <c:v>3077</c:v>
                </c:pt>
                <c:pt idx="3">
                  <c:v>2178</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85356982672032"/>
                  <c:y val="-2.76820446483989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2311343959848145"/>
                  <c:y val="-0.177651072469927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2.2505472239243457E-2"/>
                  <c:y val="-7.4966030012879784E-2"/>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48</c:v>
                </c:pt>
                <c:pt idx="1">
                  <c:v>76</c:v>
                </c:pt>
                <c:pt idx="2">
                  <c:v>9</c:v>
                </c:pt>
                <c:pt idx="3">
                  <c:v>19</c:v>
                </c:pt>
                <c:pt idx="4">
                  <c:v>108</c:v>
                </c:pt>
                <c:pt idx="5">
                  <c:v>59</c:v>
                </c:pt>
                <c:pt idx="6">
                  <c:v>409</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Ene-Abr.25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28128414119233036"/>
                  <c:y val="0.1358746837735878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21632659592917691"/>
                  <c:y val="-3.042338444110289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4245008065431167"/>
                  <c:y val="-0.1569869395438772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1.7754745532344879E-2"/>
                  <c:y val="-0.136798144663868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1383107932175386"/>
                  <c:y val="-3.35258233745867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8.8126391615846206E-2"/>
                  <c:y val="0.289889917419358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3</c:v>
                </c:pt>
                <c:pt idx="2">
                  <c:v>6</c:v>
                </c:pt>
                <c:pt idx="3">
                  <c:v>5</c:v>
                </c:pt>
                <c:pt idx="4">
                  <c:v>2</c:v>
                </c:pt>
                <c:pt idx="5">
                  <c:v>10</c:v>
                </c:pt>
                <c:pt idx="6">
                  <c:v>6</c:v>
                </c:pt>
                <c:pt idx="7">
                  <c:v>77</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Índice de Dependencia por Régimen de Financiamiento al SFS</a:t>
            </a:r>
          </a:p>
        </c:rich>
      </c:tx>
      <c:layout>
        <c:manualLayout>
          <c:xMode val="edge"/>
          <c:yMode val="edge"/>
          <c:x val="0.14629770888013996"/>
          <c:y val="2.5215417941752919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398631245860629E-2"/>
          <c:y val="0.27605092111127616"/>
          <c:w val="0.9115203490056103"/>
          <c:h val="0.38631988808002771"/>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48"/>
            <c:spPr>
              <a:solidFill>
                <a:schemeClr val="accent1">
                  <a:lumMod val="75000"/>
                </a:schemeClr>
              </a:solidFill>
              <a:ln w="9525">
                <a:solidFill>
                  <a:schemeClr val="bg1"/>
                </a:solidFill>
              </a:ln>
              <a:effectLst/>
            </c:spPr>
          </c:marker>
          <c:dLbls>
            <c:dLbl>
              <c:idx val="5"/>
              <c:layout>
                <c:manualLayout>
                  <c:x val="-2.6759806065908429E-2"/>
                  <c:y val="-9.233951105456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C5-461D-A552-DC114CD2F566}"/>
                </c:ext>
              </c:extLst>
            </c:dLbl>
            <c:spPr>
              <a:noFill/>
              <a:ln>
                <a:noFill/>
              </a:ln>
              <a:effectLst/>
            </c:spPr>
            <c:txPr>
              <a:bodyPr rot="-5400000" spcFirstLastPara="1" vertOverflow="ellipsis"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'III.3.2. Afil anual SFS RS '!$H$5:$H$22</c15:sqref>
                  </c15:fullRef>
                </c:ext>
              </c:extLst>
              <c:f>'III.3.2. Afil anual SFS RS '!$H$12:$H$22</c:f>
              <c:numCache>
                <c:formatCode>_(* #,##0.00_);_(* \(#,##0.00\);_(* "-"??_);_(@_)</c:formatCode>
                <c:ptCount val="11"/>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0.18204006837978673</c:v>
                </c:pt>
                <c:pt idx="10">
                  <c:v>0.18130644780707048</c:v>
                </c:pt>
              </c:numCache>
            </c:numRef>
          </c:val>
          <c:smooth val="0"/>
          <c:extLst>
            <c:ext xmlns:c16="http://schemas.microsoft.com/office/drawing/2014/chart" uri="{C3380CC4-5D6E-409C-BE32-E72D297353CC}">
              <c16:uniqueId val="{00000001-DEC5-461D-A552-DC114CD2F566}"/>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41"/>
            <c:spPr>
              <a:solidFill>
                <a:srgbClr val="00A94F"/>
              </a:solidFill>
              <a:ln w="9525">
                <a:solidFill>
                  <a:schemeClr val="bg1"/>
                </a:solidFill>
              </a:ln>
              <a:effectLst/>
            </c:spPr>
          </c:marker>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'III.2.2. Afil. SFS RC Anual '!$I$5:$I$22</c15:sqref>
                  </c15:fullRef>
                </c:ext>
              </c:extLst>
              <c:f>'III.2.2. Afil. SFS RC Anual '!$I$12:$I$22</c:f>
              <c:numCache>
                <c:formatCode>_(* #,##0.00_);_(* \(#,##0.00\);_(* "-"??_);_(@_)</c:formatCode>
                <c:ptCount val="11"/>
                <c:pt idx="0">
                  <c:v>1.2065030251698892</c:v>
                </c:pt>
                <c:pt idx="1">
                  <c:v>1.2172961158754561</c:v>
                </c:pt>
                <c:pt idx="2">
                  <c:v>1.2097518964348666</c:v>
                </c:pt>
                <c:pt idx="3">
                  <c:v>1.2340962665090496</c:v>
                </c:pt>
                <c:pt idx="4">
                  <c:v>1.2357235834083216</c:v>
                </c:pt>
                <c:pt idx="5">
                  <c:v>1.2808027744723864</c:v>
                </c:pt>
                <c:pt idx="6">
                  <c:v>1.2223934183251974</c:v>
                </c:pt>
                <c:pt idx="7">
                  <c:v>1.1957499938725402</c:v>
                </c:pt>
                <c:pt idx="8">
                  <c:v>1.1818512902381599</c:v>
                </c:pt>
                <c:pt idx="9">
                  <c:v>1.1804657732046777</c:v>
                </c:pt>
                <c:pt idx="10">
                  <c:v>1.1671330719517214</c:v>
                </c:pt>
              </c:numCache>
            </c:numRef>
          </c:val>
          <c:smooth val="0"/>
          <c:extLst>
            <c:ext xmlns:c16="http://schemas.microsoft.com/office/drawing/2014/chart" uri="{C3380CC4-5D6E-409C-BE32-E72D297353CC}">
              <c16:uniqueId val="{00000002-DEC5-461D-A552-DC114CD2F566}"/>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1"/>
        <c:axPos val="r"/>
        <c:numFmt formatCode="_(* #,##0.00_);_(* \(#,##0.00\);_(* &quot;-&quot;??_);_(@_)" sourceLinked="1"/>
        <c:majorTickMark val="out"/>
        <c:minorTickMark val="none"/>
        <c:tickLblPos val="nextTo"/>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1.917208916593759E-2"/>
          <c:y val="0.12618654655067679"/>
          <c:w val="0.93608689929408173"/>
          <c:h val="6.0763848442338328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400" b="1">
                <a:solidFill>
                  <a:sysClr val="windowText" lastClr="000000"/>
                </a:solidFill>
              </a:rPr>
              <a:t>Población Afiliada del SFS por Tipo de Afiliación</a:t>
            </a:r>
          </a:p>
        </c:rich>
      </c:tx>
      <c:layout>
        <c:manualLayout>
          <c:xMode val="edge"/>
          <c:yMode val="edge"/>
          <c:x val="0.2083304197980945"/>
          <c:y val="3.6112437078509661E-2"/>
        </c:manualLayout>
      </c:layout>
      <c:overlay val="0"/>
      <c:spPr>
        <a:noFill/>
        <a:ln>
          <a:noFill/>
        </a:ln>
        <a:effectLst/>
      </c:spPr>
      <c:txPr>
        <a:bodyPr rot="0" spcFirstLastPara="1" vertOverflow="ellipsis" vert="horz" wrap="square" anchor="ctr" anchorCtr="1"/>
        <a:lstStyle/>
        <a:p>
          <a:pPr>
            <a:defRPr sz="4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84979904855641E-2"/>
          <c:y val="0.20027705882482721"/>
          <c:w val="0.93078309547244098"/>
          <c:h val="0.62589466119710435"/>
        </c:manualLayout>
      </c:layout>
      <c:barChart>
        <c:barDir val="col"/>
        <c:grouping val="clustered"/>
        <c:varyColors val="0"/>
        <c:ser>
          <c:idx val="0"/>
          <c:order val="0"/>
          <c:tx>
            <c:strRef>
              <c:f>'III.2.2. Afil. SFS RC Anual '!$M$12</c:f>
              <c:strCache>
                <c:ptCount val="1"/>
                <c:pt idx="0">
                  <c:v> Titulares </c:v>
                </c:pt>
              </c:strCache>
            </c:strRef>
          </c:tx>
          <c:spPr>
            <a:solidFill>
              <a:srgbClr val="00539B"/>
            </a:solidFill>
            <a:ln>
              <a:noFill/>
            </a:ln>
            <a:effectLst/>
          </c:spPr>
          <c:invertIfNegative val="0"/>
          <c:dPt>
            <c:idx val="0"/>
            <c:invertIfNegative val="0"/>
            <c:bubble3D val="0"/>
            <c:spPr>
              <a:solidFill>
                <a:srgbClr val="00539B"/>
              </a:solidFill>
              <a:ln>
                <a:noFill/>
              </a:ln>
              <a:effectLst/>
            </c:spPr>
            <c:extLst>
              <c:ext xmlns:c16="http://schemas.microsoft.com/office/drawing/2014/chart" uri="{C3380CC4-5D6E-409C-BE32-E72D297353CC}">
                <c16:uniqueId val="{00000001-A0B1-4E6C-89A9-A0565E571039}"/>
              </c:ext>
            </c:extLst>
          </c:dPt>
          <c:dLbls>
            <c:dLbl>
              <c:idx val="0"/>
              <c:layout>
                <c:manualLayout>
                  <c:x val="-2.1915073739909145E-2"/>
                  <c:y val="-9.857955401057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B1-4E6C-89A9-A0565E571039}"/>
                </c:ext>
              </c:extLst>
            </c:dLbl>
            <c:dLbl>
              <c:idx val="1"/>
              <c:layout>
                <c:manualLayout>
                  <c:x val="4.4479975079917451E-6"/>
                  <c:y val="-1.3575239699703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B1-4E6C-89A9-A0565E571039}"/>
                </c:ext>
              </c:extLst>
            </c:dLbl>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'!$N$11:$O$11</c:f>
              <c:strCache>
                <c:ptCount val="2"/>
                <c:pt idx="0">
                  <c:v> Regimen Cotributivo </c:v>
                </c:pt>
                <c:pt idx="1">
                  <c:v> Regimen Subsidiado </c:v>
                </c:pt>
              </c:strCache>
            </c:strRef>
          </c:cat>
          <c:val>
            <c:numRef>
              <c:f>'III.2.2. Afil. SFS RC Anual '!$N$12:$O$12</c:f>
              <c:numCache>
                <c:formatCode>_(* #,##0_);_(* \(#,##0\);_(* "-"_);_(@_)</c:formatCode>
                <c:ptCount val="2"/>
                <c:pt idx="0">
                  <c:v>2191942</c:v>
                </c:pt>
                <c:pt idx="1">
                  <c:v>4822818</c:v>
                </c:pt>
              </c:numCache>
            </c:numRef>
          </c:val>
          <c:extLst>
            <c:ext xmlns:c16="http://schemas.microsoft.com/office/drawing/2014/chart" uri="{C3380CC4-5D6E-409C-BE32-E72D297353CC}">
              <c16:uniqueId val="{00000003-A0B1-4E6C-89A9-A0565E571039}"/>
            </c:ext>
          </c:extLst>
        </c:ser>
        <c:ser>
          <c:idx val="1"/>
          <c:order val="1"/>
          <c:tx>
            <c:strRef>
              <c:f>'III.2.2. Afil. SFS RC Anual '!$M$13</c:f>
              <c:strCache>
                <c:ptCount val="1"/>
                <c:pt idx="0">
                  <c:v> Dependientes Directos  </c:v>
                </c:pt>
              </c:strCache>
            </c:strRef>
          </c:tx>
          <c:spPr>
            <a:solidFill>
              <a:srgbClr val="00A94F"/>
            </a:solidFill>
            <a:ln>
              <a:noFill/>
            </a:ln>
            <a:effectLst/>
          </c:spPr>
          <c:invertIfNegative val="0"/>
          <c:dPt>
            <c:idx val="1"/>
            <c:invertIfNegative val="0"/>
            <c:bubble3D val="0"/>
            <c:spPr>
              <a:solidFill>
                <a:srgbClr val="00A94F"/>
              </a:solidFill>
              <a:ln>
                <a:noFill/>
              </a:ln>
              <a:effectLst/>
            </c:spPr>
            <c:extLst>
              <c:ext xmlns:c16="http://schemas.microsoft.com/office/drawing/2014/chart" uri="{C3380CC4-5D6E-409C-BE32-E72D297353CC}">
                <c16:uniqueId val="{00000005-A0B1-4E6C-89A9-A0565E571039}"/>
              </c:ext>
            </c:extLst>
          </c:dPt>
          <c:dLbls>
            <c:dLbl>
              <c:idx val="0"/>
              <c:layout>
                <c:manualLayout>
                  <c:x val="1.9723566365918231E-2"/>
                  <c:y val="-1.7744319721903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B1-4E6C-89A9-A0565E571039}"/>
                </c:ext>
              </c:extLst>
            </c:dLbl>
            <c:dLbl>
              <c:idx val="1"/>
              <c:layout>
                <c:manualLayout>
                  <c:x val="1.4748822632617236E-2"/>
                  <c:y val="-2.2207714542011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B1-4E6C-89A9-A0565E571039}"/>
                </c:ext>
              </c:extLst>
            </c:dLbl>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'!$N$11:$O$11</c:f>
              <c:strCache>
                <c:ptCount val="2"/>
                <c:pt idx="0">
                  <c:v> Regimen Cotributivo </c:v>
                </c:pt>
                <c:pt idx="1">
                  <c:v> Regimen Subsidiado </c:v>
                </c:pt>
              </c:strCache>
            </c:strRef>
          </c:cat>
          <c:val>
            <c:numRef>
              <c:f>'III.2.2. Afil. SFS RC Anual '!$N$13:$O$13</c:f>
              <c:numCache>
                <c:formatCode>_(* #,##0_);_(* \(#,##0\);_(* "-"_);_(@_)</c:formatCode>
                <c:ptCount val="2"/>
                <c:pt idx="0">
                  <c:v>2292413</c:v>
                </c:pt>
                <c:pt idx="1">
                  <c:v>874408</c:v>
                </c:pt>
              </c:numCache>
            </c:numRef>
          </c:val>
          <c:extLst>
            <c:ext xmlns:c16="http://schemas.microsoft.com/office/drawing/2014/chart" uri="{C3380CC4-5D6E-409C-BE32-E72D297353CC}">
              <c16:uniqueId val="{00000007-A0B1-4E6C-89A9-A0565E571039}"/>
            </c:ext>
          </c:extLst>
        </c:ser>
        <c:ser>
          <c:idx val="2"/>
          <c:order val="2"/>
          <c:tx>
            <c:strRef>
              <c:f>'III.2.2. Afil. SFS RC Anual '!$M$14</c:f>
              <c:strCache>
                <c:ptCount val="1"/>
                <c:pt idx="0">
                  <c:v> Dependientes Adicionales </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'!$N$11:$O$11</c:f>
              <c:strCache>
                <c:ptCount val="2"/>
                <c:pt idx="0">
                  <c:v> Regimen Cotributivo </c:v>
                </c:pt>
                <c:pt idx="1">
                  <c:v> Regimen Subsidiado </c:v>
                </c:pt>
              </c:strCache>
            </c:strRef>
          </c:cat>
          <c:val>
            <c:numRef>
              <c:f>'III.2.2. Afil. SFS RC Anual '!$N$14:$O$14</c:f>
              <c:numCache>
                <c:formatCode>_(* #,##0_);_(* \(#,##0\);_(* "-"_);_(@_)</c:formatCode>
                <c:ptCount val="2"/>
                <c:pt idx="0">
                  <c:v>265875</c:v>
                </c:pt>
              </c:numCache>
            </c:numRef>
          </c:val>
          <c:extLst>
            <c:ext xmlns:c16="http://schemas.microsoft.com/office/drawing/2014/chart" uri="{C3380CC4-5D6E-409C-BE32-E72D297353CC}">
              <c16:uniqueId val="{00000008-A0B1-4E6C-89A9-A0565E571039}"/>
            </c:ext>
          </c:extLst>
        </c:ser>
        <c:dLbls>
          <c:showLegendKey val="0"/>
          <c:showVal val="0"/>
          <c:showCatName val="0"/>
          <c:showSerName val="0"/>
          <c:showPercent val="0"/>
          <c:showBubbleSize val="0"/>
        </c:dLbls>
        <c:gapWidth val="59"/>
        <c:overlap val="5"/>
        <c:axId val="832307791"/>
        <c:axId val="832327759"/>
        <c:extLst>
          <c:ext xmlns:c15="http://schemas.microsoft.com/office/drawing/2012/chart" uri="{02D57815-91ED-43cb-92C2-25804820EDAC}">
            <c15:filteredBarSeries>
              <c15:ser>
                <c:idx val="3"/>
                <c:order val="3"/>
                <c:tx>
                  <c:v>Pensionados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
                    <c:pt idx="0">
                      <c:v>111952</c:v>
                    </c:pt>
                  </c:numLit>
                </c:val>
                <c:extLst>
                  <c:ext xmlns:c16="http://schemas.microsoft.com/office/drawing/2014/chart" uri="{C3380CC4-5D6E-409C-BE32-E72D297353CC}">
                    <c16:uniqueId val="{00000009-A0B1-4E6C-89A9-A0565E571039}"/>
                  </c:ext>
                </c:extLst>
              </c15:ser>
            </c15:filteredBarSeries>
          </c:ext>
        </c:extLst>
      </c:barChart>
      <c:catAx>
        <c:axId val="8323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32327759"/>
        <c:crosses val="autoZero"/>
        <c:auto val="1"/>
        <c:lblAlgn val="ctr"/>
        <c:lblOffset val="100"/>
        <c:noMultiLvlLbl val="0"/>
      </c:catAx>
      <c:valAx>
        <c:axId val="832327759"/>
        <c:scaling>
          <c:orientation val="minMax"/>
        </c:scaling>
        <c:delete val="1"/>
        <c:axPos val="l"/>
        <c:numFmt formatCode="_(* #,##0_);_(* \(#,##0\);_(* &quot;-&quot;_);_(@_)"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2.6113515301203968E-2"/>
          <c:y val="0.17525654687900855"/>
          <c:w val="0.92294150069478054"/>
          <c:h val="6.9273555789239702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s-DO" sz="4000" cap="none" baseline="0"/>
              <a:t>Total de Empresas Registradas al SDSS  por Tipos</a:t>
            </a:r>
          </a:p>
        </c:rich>
      </c:tx>
      <c:layout>
        <c:manualLayout>
          <c:xMode val="edge"/>
          <c:yMode val="edge"/>
          <c:x val="0.1846961550515141"/>
          <c:y val="3.8839240623377361E-2"/>
        </c:manualLayout>
      </c:layout>
      <c:overlay val="0"/>
      <c:spPr>
        <a:noFill/>
        <a:ln>
          <a:noFill/>
        </a:ln>
        <a:effectLst/>
      </c:spPr>
      <c:txPr>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5.5930464677830796E-3"/>
          <c:y val="0.20676519601716453"/>
          <c:w val="0.98925954678200423"/>
          <c:h val="0.59031693954922304"/>
        </c:manualLayout>
      </c:layout>
      <c:barChart>
        <c:barDir val="col"/>
        <c:grouping val="clustered"/>
        <c:varyColors val="0"/>
        <c:ser>
          <c:idx val="0"/>
          <c:order val="0"/>
          <c:spPr>
            <a:solidFill>
              <a:srgbClr val="00A94F"/>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3EA-4DA1-A18E-1DD1ED12640A}"/>
              </c:ext>
            </c:extLst>
          </c:dPt>
          <c:dPt>
            <c:idx val="1"/>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3EA-4DA1-A18E-1DD1ED12640A}"/>
              </c:ext>
            </c:extLst>
          </c:dPt>
          <c:dPt>
            <c:idx val="2"/>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3EA-4DA1-A18E-1DD1ED12640A}"/>
              </c:ext>
            </c:extLst>
          </c:dPt>
          <c:dLbls>
            <c:dLbl>
              <c:idx val="0"/>
              <c:layout>
                <c:manualLayout>
                  <c:x val="-1.0224948326438976E-2"/>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EA-4DA1-A18E-1DD1ED12640A}"/>
                </c:ext>
              </c:extLst>
            </c:dLbl>
            <c:spPr>
              <a:noFill/>
              <a:ln>
                <a:noFill/>
              </a:ln>
              <a:effectLst/>
            </c:spPr>
            <c:txPr>
              <a:bodyPr rot="0" spcFirstLastPara="1" vertOverflow="ellipsis" vert="horz" wrap="square" anchor="ctr" anchorCtr="1"/>
              <a:lstStyle/>
              <a:p>
                <a:pPr>
                  <a:defRPr sz="35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'!$B$4:$D$4</c:f>
              <c:strCache>
                <c:ptCount val="3"/>
                <c:pt idx="0">
                  <c:v> Empresas Privadas </c:v>
                </c:pt>
                <c:pt idx="1">
                  <c:v>  Empresas Públicas  </c:v>
                </c:pt>
                <c:pt idx="2">
                  <c:v> Empresas Públicas Centralizadas </c:v>
                </c:pt>
              </c:strCache>
            </c:strRef>
          </c:cat>
          <c:val>
            <c:numRef>
              <c:f>'II.3. Empl x sector '!$B$22:$D$22</c:f>
              <c:numCache>
                <c:formatCode>_(* #,##0_);_(* \(#,##0\);_(* "-"??_);_(@_)</c:formatCode>
                <c:ptCount val="3"/>
                <c:pt idx="0">
                  <c:v>111636</c:v>
                </c:pt>
                <c:pt idx="1">
                  <c:v>580</c:v>
                </c:pt>
                <c:pt idx="2">
                  <c:v>68</c:v>
                </c:pt>
              </c:numCache>
            </c:numRef>
          </c:val>
          <c:extLst>
            <c:ext xmlns:c16="http://schemas.microsoft.com/office/drawing/2014/chart" uri="{C3380CC4-5D6E-409C-BE32-E72D297353CC}">
              <c16:uniqueId val="{00000006-83EA-4DA1-A18E-1DD1ED12640A}"/>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Dispersión a las Administradora de Riesgos de Salud (ARS) </a:t>
            </a:r>
          </a:p>
        </c:rich>
      </c:tx>
      <c:layout>
        <c:manualLayout>
          <c:xMode val="edge"/>
          <c:yMode val="edge"/>
          <c:x val="0.26725731741802378"/>
          <c:y val="3.0042918454935622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634425873146224"/>
          <c:y val="0.10761905619921079"/>
          <c:w val="0.85919734151329241"/>
          <c:h val="0.33381712583409906"/>
        </c:manualLayout>
      </c:layout>
      <c:lineChart>
        <c:grouping val="standard"/>
        <c:varyColors val="0"/>
        <c:ser>
          <c:idx val="0"/>
          <c:order val="0"/>
          <c:tx>
            <c:strRef>
              <c:f>'IV.2.4.Pagos x ARS'!$C$4</c:f>
              <c:strCache>
                <c:ptCount val="1"/>
                <c:pt idx="0">
                  <c:v>Total General
2022- Mar.25</c:v>
                </c:pt>
              </c:strCache>
            </c:strRef>
          </c:tx>
          <c:spPr>
            <a:ln w="66675" cap="rnd" cmpd="sng" algn="ctr">
              <a:solidFill>
                <a:schemeClr val="accent1">
                  <a:shade val="95000"/>
                  <a:satMod val="105000"/>
                </a:schemeClr>
              </a:solidFill>
              <a:prstDash val="solid"/>
              <a:round/>
            </a:ln>
            <a:effectLst/>
          </c:spPr>
          <c:marker>
            <c:symbol val="circle"/>
            <c:size val="2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1-AC5F-4C0E-9080-EE1185A8EC25}"/>
              </c:ext>
            </c:extLst>
          </c:dPt>
          <c:dPt>
            <c:idx val="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AC5F-4C0E-9080-EE1185A8EC25}"/>
              </c:ext>
            </c:extLst>
          </c:dPt>
          <c:dPt>
            <c:idx val="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5-AC5F-4C0E-9080-EE1185A8EC25}"/>
              </c:ext>
            </c:extLst>
          </c:dPt>
          <c:dPt>
            <c:idx val="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7-AC5F-4C0E-9080-EE1185A8EC25}"/>
              </c:ext>
            </c:extLst>
          </c:dPt>
          <c:dPt>
            <c:idx val="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9-AC5F-4C0E-9080-EE1185A8EC25}"/>
              </c:ext>
            </c:extLst>
          </c:dPt>
          <c:dPt>
            <c:idx val="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B-AC5F-4C0E-9080-EE1185A8EC25}"/>
              </c:ext>
            </c:extLst>
          </c:dPt>
          <c:dPt>
            <c:idx val="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D-AC5F-4C0E-9080-EE1185A8EC25}"/>
              </c:ext>
            </c:extLst>
          </c:dPt>
          <c:dPt>
            <c:idx val="7"/>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F-AC5F-4C0E-9080-EE1185A8EC25}"/>
              </c:ext>
            </c:extLst>
          </c:dPt>
          <c:dPt>
            <c:idx val="8"/>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1-AC5F-4C0E-9080-EE1185A8EC25}"/>
              </c:ext>
            </c:extLst>
          </c:dPt>
          <c:dPt>
            <c:idx val="9"/>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3-AC5F-4C0E-9080-EE1185A8EC25}"/>
              </c:ext>
            </c:extLst>
          </c:dPt>
          <c:dPt>
            <c:idx val="1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5-AC5F-4C0E-9080-EE1185A8EC25}"/>
              </c:ext>
            </c:extLst>
          </c:dPt>
          <c:dPt>
            <c:idx val="1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7-AC5F-4C0E-9080-EE1185A8EC25}"/>
              </c:ext>
            </c:extLst>
          </c:dPt>
          <c:dPt>
            <c:idx val="1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9-AC5F-4C0E-9080-EE1185A8EC25}"/>
              </c:ext>
            </c:extLst>
          </c:dPt>
          <c:dPt>
            <c:idx val="1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B-AC5F-4C0E-9080-EE1185A8EC25}"/>
              </c:ext>
            </c:extLst>
          </c:dPt>
          <c:dPt>
            <c:idx val="1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D-AC5F-4C0E-9080-EE1185A8EC25}"/>
              </c:ext>
            </c:extLst>
          </c:dPt>
          <c:dPt>
            <c:idx val="1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F-AC5F-4C0E-9080-EE1185A8EC25}"/>
              </c:ext>
            </c:extLst>
          </c:dPt>
          <c:dPt>
            <c:idx val="1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21-AC5F-4C0E-9080-EE1185A8EC25}"/>
              </c:ext>
            </c:extLst>
          </c:dPt>
          <c:dLbls>
            <c:dLbl>
              <c:idx val="0"/>
              <c:layout>
                <c:manualLayout>
                  <c:x val="-2.7949649313562662E-2"/>
                  <c:y val="-0.123505976095617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5F-4C0E-9080-EE1185A8EC25}"/>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78984301567.919998</c:v>
                </c:pt>
                <c:pt idx="1">
                  <c:v>101027098480.34</c:v>
                </c:pt>
                <c:pt idx="2">
                  <c:v>34074020683.290001</c:v>
                </c:pt>
                <c:pt idx="3">
                  <c:v>18109868672.18</c:v>
                </c:pt>
                <c:pt idx="4">
                  <c:v>9251795854.6900005</c:v>
                </c:pt>
                <c:pt idx="5">
                  <c:v>17167594394.73</c:v>
                </c:pt>
                <c:pt idx="6">
                  <c:v>5382272715.7600002</c:v>
                </c:pt>
                <c:pt idx="7">
                  <c:v>5198594029.3700008</c:v>
                </c:pt>
                <c:pt idx="8">
                  <c:v>6101061518.6900005</c:v>
                </c:pt>
                <c:pt idx="9">
                  <c:v>6518807335.6100006</c:v>
                </c:pt>
                <c:pt idx="10">
                  <c:v>3542691735.5999999</c:v>
                </c:pt>
                <c:pt idx="11">
                  <c:v>1741202877.03</c:v>
                </c:pt>
                <c:pt idx="12">
                  <c:v>1618374163.6300001</c:v>
                </c:pt>
                <c:pt idx="13">
                  <c:v>2575775033.1199999</c:v>
                </c:pt>
                <c:pt idx="14">
                  <c:v>2364364759.3199997</c:v>
                </c:pt>
                <c:pt idx="15">
                  <c:v>2877654915.77</c:v>
                </c:pt>
                <c:pt idx="16">
                  <c:v>485261756.27999997</c:v>
                </c:pt>
              </c:numCache>
            </c:numRef>
          </c:val>
          <c:smooth val="0"/>
          <c:extLst>
            <c:ext xmlns:c16="http://schemas.microsoft.com/office/drawing/2014/chart" uri="{C3380CC4-5D6E-409C-BE32-E72D297353CC}">
              <c16:uniqueId val="{0000003A-AC5F-4C0E-9080-EE1185A8EC25}"/>
            </c:ext>
          </c:extLst>
        </c:ser>
        <c:dLbls>
          <c:showLegendKey val="0"/>
          <c:showVal val="0"/>
          <c:showCatName val="0"/>
          <c:showSerName val="0"/>
          <c:showPercent val="0"/>
          <c:showBubbleSize val="0"/>
        </c:dLbls>
        <c:marker val="1"/>
        <c:smooth val="0"/>
        <c:axId val="432547600"/>
        <c:axId val="432547992"/>
      </c:line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Evolución del Patrimonio de los Fondos de pensiones por año (Millones RD$)</a:t>
            </a:r>
          </a:p>
        </c:rich>
      </c:tx>
      <c:layout>
        <c:manualLayout>
          <c:xMode val="edge"/>
          <c:yMode val="edge"/>
          <c:x val="0.12066666666666667"/>
          <c:y val="3.246753246753247E-3"/>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895119517095539"/>
          <c:y val="0.14521571760051735"/>
          <c:w val="0.73975629899639828"/>
          <c:h val="0.79815633915325812"/>
        </c:manualLayout>
      </c:layout>
      <c:barChart>
        <c:barDir val="bar"/>
        <c:grouping val="clustered"/>
        <c:varyColors val="0"/>
        <c:ser>
          <c:idx val="0"/>
          <c:order val="0"/>
          <c:tx>
            <c:strRef>
              <c:f>'IV.3.5.Patrim. fp anual'!$B$4</c:f>
              <c:strCache>
                <c:ptCount val="1"/>
                <c:pt idx="0">
                  <c:v>Patrimonio Fondos de Pensiones 
(RD$ Millones)</c:v>
                </c:pt>
              </c:strCache>
            </c:strRef>
          </c:tx>
          <c:spPr>
            <a:solidFill>
              <a:srgbClr val="00A94F"/>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anual'!$A$5:$A$22</c15:sqref>
                  </c15:fullRef>
                </c:ext>
              </c:extLst>
              <c:f>'IV.3.5.Patrim. fp anual'!$A$12:$A$22</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'IV.3.5.Patrim. fp anual'!$B$5:$B$22</c15:sqref>
                  </c15:fullRef>
                </c:ext>
              </c:extLst>
              <c:f>'IV.3.5.Patrim. fp anual'!$B$12:$B$22</c:f>
              <c:numCache>
                <c:formatCode>_(* #,##0.00_);_(* \(#,##0.00\);_(* "-"??_);_(@_)</c:formatCode>
                <c:ptCount val="11"/>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1213344.006122</c:v>
                </c:pt>
                <c:pt idx="9">
                  <c:v>1397051.0850722701</c:v>
                </c:pt>
                <c:pt idx="10">
                  <c:v>1455467.2471073999</c:v>
                </c:pt>
              </c:numCache>
            </c:numRef>
          </c:val>
          <c:extLst>
            <c:ext xmlns:c16="http://schemas.microsoft.com/office/drawing/2014/chart" uri="{C3380CC4-5D6E-409C-BE32-E72D297353CC}">
              <c16:uniqueId val="{00000001-9952-4FA5-9710-1FC7C878DA58}"/>
            </c:ext>
          </c:extLst>
        </c:ser>
        <c:dLbls>
          <c:showLegendKey val="0"/>
          <c:showVal val="0"/>
          <c:showCatName val="0"/>
          <c:showSerName val="0"/>
          <c:showPercent val="0"/>
          <c:showBubbleSize val="0"/>
        </c:dLbls>
        <c:gapWidth val="19"/>
        <c:axId val="690728480"/>
        <c:axId val="690730560"/>
      </c:barChart>
      <c:catAx>
        <c:axId val="69072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90730560"/>
        <c:crosses val="autoZero"/>
        <c:auto val="1"/>
        <c:lblAlgn val="ctr"/>
        <c:lblOffset val="100"/>
        <c:noMultiLvlLbl val="0"/>
      </c:catAx>
      <c:valAx>
        <c:axId val="690730560"/>
        <c:scaling>
          <c:orientation val="minMax"/>
        </c:scaling>
        <c:delete val="1"/>
        <c:axPos val="b"/>
        <c:numFmt formatCode="_(* #,##0.00_);_(* \(#,##0.00\);_(* &quot;-&quot;??_);_(@_)" sourceLinked="1"/>
        <c:majorTickMark val="none"/>
        <c:minorTickMark val="none"/>
        <c:tickLblPos val="nextTo"/>
        <c:crossAx val="690728480"/>
        <c:crosses val="autoZero"/>
        <c:crossBetween val="between"/>
      </c:valAx>
      <c:spPr>
        <a:noFill/>
        <a:ln>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4.0930050536261364E-2"/>
          <c:y val="0.22359260527216707"/>
          <c:w val="0.92370472306409845"/>
          <c:h val="0.64702346989235038"/>
        </c:manualLayout>
      </c:layout>
      <c:barChart>
        <c:barDir val="col"/>
        <c:grouping val="clustered"/>
        <c:varyColors val="0"/>
        <c:ser>
          <c:idx val="0"/>
          <c:order val="0"/>
          <c:tx>
            <c:strRef>
              <c:f>'III.2.2. Afil. SFS RC Anual '!$M$12</c:f>
              <c:strCache>
                <c:ptCount val="1"/>
                <c:pt idx="0">
                  <c:v> Titulares </c:v>
                </c:pt>
              </c:strCache>
            </c:strRef>
          </c:tx>
          <c:spPr>
            <a:solidFill>
              <a:srgbClr val="00A94F"/>
            </a:solidFill>
            <a:ln>
              <a:noFill/>
            </a:ln>
            <a:effectLst/>
          </c:spPr>
          <c:invertIfNegative val="0"/>
          <c:dPt>
            <c:idx val="0"/>
            <c:invertIfNegative val="0"/>
            <c:bubble3D val="0"/>
            <c:spPr>
              <a:solidFill>
                <a:srgbClr val="00A94F"/>
              </a:solidFill>
              <a:ln>
                <a:noFill/>
              </a:ln>
              <a:effectLst/>
            </c:spPr>
            <c:extLst>
              <c:ext xmlns:c16="http://schemas.microsoft.com/office/drawing/2014/chart" uri="{C3380CC4-5D6E-409C-BE32-E72D297353CC}">
                <c16:uniqueId val="{00000005-9372-4C1D-8B50-F22A93D47B7C}"/>
              </c:ext>
            </c:extLst>
          </c:dPt>
          <c:dLbls>
            <c:spPr>
              <a:noFill/>
              <a:ln>
                <a:noFill/>
              </a:ln>
              <a:effectLst/>
            </c:spPr>
            <c:txPr>
              <a:bodyPr rot="-5400000" spcFirstLastPara="1" vertOverflow="ellipsis" wrap="square" lIns="38100" tIns="19050" rIns="38100" bIns="19050" anchor="ctr" anchorCtr="1">
                <a:spAutoFit/>
              </a:bodyPr>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'!$N$11:$O$11</c:f>
              <c:strCache>
                <c:ptCount val="2"/>
                <c:pt idx="0">
                  <c:v> Regimen Cotributivo </c:v>
                </c:pt>
                <c:pt idx="1">
                  <c:v> Regimen Subsidiado </c:v>
                </c:pt>
              </c:strCache>
            </c:strRef>
          </c:cat>
          <c:val>
            <c:numRef>
              <c:f>'III.2.2. Afil. SFS RC Anual '!$N$12:$O$12</c:f>
              <c:numCache>
                <c:formatCode>_(* #,##0_);_(* \(#,##0\);_(* "-"_);_(@_)</c:formatCode>
                <c:ptCount val="2"/>
                <c:pt idx="0">
                  <c:v>2191942</c:v>
                </c:pt>
                <c:pt idx="1">
                  <c:v>4822818</c:v>
                </c:pt>
              </c:numCache>
            </c:numRef>
          </c:val>
          <c:extLst>
            <c:ext xmlns:c16="http://schemas.microsoft.com/office/drawing/2014/chart" uri="{C3380CC4-5D6E-409C-BE32-E72D297353CC}">
              <c16:uniqueId val="{00000000-9372-4C1D-8B50-F22A93D47B7C}"/>
            </c:ext>
          </c:extLst>
        </c:ser>
        <c:ser>
          <c:idx val="1"/>
          <c:order val="1"/>
          <c:tx>
            <c:strRef>
              <c:f>'III.2.2. Afil. SFS RC Anual '!$M$13</c:f>
              <c:strCache>
                <c:ptCount val="1"/>
                <c:pt idx="0">
                  <c:v> Dependientes Directos  </c:v>
                </c:pt>
              </c:strCache>
            </c:strRef>
          </c:tx>
          <c:spPr>
            <a:solidFill>
              <a:schemeClr val="accent1">
                <a:lumMod val="75000"/>
              </a:schemeClr>
            </a:solidFill>
            <a:ln>
              <a:noFill/>
            </a:ln>
            <a:effectLst/>
          </c:spPr>
          <c:invertIfNegative val="0"/>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372-4C1D-8B50-F22A93D47B7C}"/>
              </c:ext>
            </c:extLst>
          </c:dPt>
          <c:dLbls>
            <c:spPr>
              <a:noFill/>
              <a:ln>
                <a:noFill/>
              </a:ln>
              <a:effectLst/>
            </c:spPr>
            <c:txPr>
              <a:bodyPr rot="-5400000" spcFirstLastPara="1" vertOverflow="ellipsis" wrap="square" lIns="38100" tIns="19050" rIns="38100" bIns="19050" anchor="ctr" anchorCtr="1">
                <a:spAutoFit/>
              </a:bodyPr>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'!$N$11:$O$11</c:f>
              <c:strCache>
                <c:ptCount val="2"/>
                <c:pt idx="0">
                  <c:v> Regimen Cotributivo </c:v>
                </c:pt>
                <c:pt idx="1">
                  <c:v> Regimen Subsidiado </c:v>
                </c:pt>
              </c:strCache>
            </c:strRef>
          </c:cat>
          <c:val>
            <c:numRef>
              <c:f>'III.2.2. Afil. SFS RC Anual '!$N$13:$O$13</c:f>
              <c:numCache>
                <c:formatCode>_(* #,##0_);_(* \(#,##0\);_(* "-"_);_(@_)</c:formatCode>
                <c:ptCount val="2"/>
                <c:pt idx="0">
                  <c:v>2292413</c:v>
                </c:pt>
                <c:pt idx="1">
                  <c:v>874408</c:v>
                </c:pt>
              </c:numCache>
            </c:numRef>
          </c:val>
          <c:extLst>
            <c:ext xmlns:c16="http://schemas.microsoft.com/office/drawing/2014/chart" uri="{C3380CC4-5D6E-409C-BE32-E72D297353CC}">
              <c16:uniqueId val="{00000001-9372-4C1D-8B50-F22A93D47B7C}"/>
            </c:ext>
          </c:extLst>
        </c:ser>
        <c:ser>
          <c:idx val="2"/>
          <c:order val="2"/>
          <c:tx>
            <c:strRef>
              <c:f>'III.2.2. Afil. SFS RC Anual '!$M$14</c:f>
              <c:strCache>
                <c:ptCount val="1"/>
                <c:pt idx="0">
                  <c:v> Dependientes Adicionales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'!$N$11:$O$11</c:f>
              <c:strCache>
                <c:ptCount val="2"/>
                <c:pt idx="0">
                  <c:v> Regimen Cotributivo </c:v>
                </c:pt>
                <c:pt idx="1">
                  <c:v> Regimen Subsidiado </c:v>
                </c:pt>
              </c:strCache>
            </c:strRef>
          </c:cat>
          <c:val>
            <c:numRef>
              <c:f>'III.2.2. Afil. SFS RC Anual '!$N$14:$O$14</c:f>
              <c:numCache>
                <c:formatCode>_(* #,##0_);_(* \(#,##0\);_(* "-"_);_(@_)</c:formatCode>
                <c:ptCount val="2"/>
                <c:pt idx="0">
                  <c:v>265875</c:v>
                </c:pt>
              </c:numCache>
            </c:numRef>
          </c:val>
          <c:extLst>
            <c:ext xmlns:c16="http://schemas.microsoft.com/office/drawing/2014/chart" uri="{C3380CC4-5D6E-409C-BE32-E72D297353CC}">
              <c16:uniqueId val="{00000002-9372-4C1D-8B50-F22A93D47B7C}"/>
            </c:ext>
          </c:extLst>
        </c:ser>
        <c:dLbls>
          <c:showLegendKey val="0"/>
          <c:showVal val="0"/>
          <c:showCatName val="0"/>
          <c:showSerName val="0"/>
          <c:showPercent val="0"/>
          <c:showBubbleSize val="0"/>
        </c:dLbls>
        <c:gapWidth val="219"/>
        <c:overlap val="-27"/>
        <c:axId val="832307791"/>
        <c:axId val="832327759"/>
        <c:extLst>
          <c:ext xmlns:c15="http://schemas.microsoft.com/office/drawing/2012/chart" uri="{02D57815-91ED-43cb-92C2-25804820EDAC}">
            <c15:filteredBarSeries>
              <c15:ser>
                <c:idx val="3"/>
                <c:order val="3"/>
                <c:tx>
                  <c:v>Pensionados</c:v>
                </c:tx>
                <c:spPr>
                  <a:solidFill>
                    <a:schemeClr val="accent5">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
                    <c:pt idx="0">
                      <c:v>111952</c:v>
                    </c:pt>
                  </c:numLit>
                </c:val>
                <c:extLst>
                  <c:ext xmlns:c16="http://schemas.microsoft.com/office/drawing/2014/chart" uri="{C3380CC4-5D6E-409C-BE32-E72D297353CC}">
                    <c16:uniqueId val="{00000000-DC1E-4604-A706-92EC24FCE2BF}"/>
                  </c:ext>
                </c:extLst>
              </c15:ser>
            </c15:filteredBarSeries>
          </c:ext>
        </c:extLst>
      </c:barChart>
      <c:catAx>
        <c:axId val="8323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32327759"/>
        <c:crosses val="autoZero"/>
        <c:auto val="1"/>
        <c:lblAlgn val="ctr"/>
        <c:lblOffset val="100"/>
        <c:noMultiLvlLbl val="0"/>
      </c:catAx>
      <c:valAx>
        <c:axId val="832327759"/>
        <c:scaling>
          <c:orientation val="minMax"/>
        </c:scaling>
        <c:delete val="1"/>
        <c:axPos val="l"/>
        <c:numFmt formatCode="_(* #,##0_);_(* \(#,##0\);_(* &quot;-&quot;_);_(@_)"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2.5883225494160125E-2"/>
          <c:y val="2.8963297340275463E-2"/>
          <c:w val="0.92294150069478054"/>
          <c:h val="6.927355578923970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Total de Afiliados Registrados al Seguro de Riesgos Laborales</a:t>
            </a:r>
          </a:p>
        </c:rich>
      </c:tx>
      <c:layout>
        <c:manualLayout>
          <c:xMode val="edge"/>
          <c:yMode val="edge"/>
          <c:x val="0.18194173147462883"/>
          <c:y val="7.2052095760757176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4320557773113493E-2"/>
          <c:y val="0.34214491370396882"/>
          <c:w val="0.93437019877088534"/>
          <c:h val="0.31858758416067556"/>
        </c:manualLayout>
      </c:layout>
      <c:lineChart>
        <c:grouping val="standard"/>
        <c:varyColors val="0"/>
        <c:ser>
          <c:idx val="0"/>
          <c:order val="0"/>
          <c:tx>
            <c:strRef>
              <c:f>'II.3. Empl x sector '!$J$4</c:f>
              <c:strCache>
                <c:ptCount val="1"/>
                <c:pt idx="0">
                  <c:v> Total  Empleados </c:v>
                </c:pt>
              </c:strCache>
            </c:strRef>
          </c:tx>
          <c:spPr>
            <a:ln w="82550" cap="rnd">
              <a:solidFill>
                <a:schemeClr val="tx2"/>
              </a:solidFill>
              <a:round/>
            </a:ln>
            <a:effectLst/>
          </c:spPr>
          <c:marker>
            <c:symbol val="circle"/>
            <c:size val="40"/>
            <c:spPr>
              <a:solidFill>
                <a:srgbClr val="00539B"/>
              </a:solidFill>
              <a:ln w="9525">
                <a:solidFill>
                  <a:schemeClr val="bg1"/>
                </a:solidFill>
              </a:ln>
              <a:effectLst/>
            </c:spPr>
          </c:marker>
          <c:dLbls>
            <c:spPr>
              <a:noFill/>
              <a:ln>
                <a:noFill/>
              </a:ln>
              <a:effectLst/>
            </c:spPr>
            <c:txPr>
              <a:bodyPr rot="-5400000" spcFirstLastPara="1" vertOverflow="ellipsis"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'!$A$5:$A$22</c15:sqref>
                  </c15:fullRef>
                </c:ext>
              </c:extLst>
              <c:f>'II.3. Empl x sector '!$A$12:$A$22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Abr.25 </c:v>
                </c:pt>
              </c:strCache>
            </c:strRef>
          </c:cat>
          <c:val>
            <c:numRef>
              <c:extLst>
                <c:ext xmlns:c15="http://schemas.microsoft.com/office/drawing/2012/chart" uri="{02D57815-91ED-43cb-92C2-25804820EDAC}">
                  <c15:fullRef>
                    <c15:sqref>'II.3. Empl x sector '!$J$5:$J$22</c15:sqref>
                  </c15:fullRef>
                </c:ext>
              </c:extLst>
              <c:f>'II.3. Empl x sector '!$J$12:$J$22</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2554953</c:v>
                </c:pt>
              </c:numCache>
            </c:numRef>
          </c:val>
          <c:smooth val="0"/>
          <c:extLst>
            <c:ext xmlns:c16="http://schemas.microsoft.com/office/drawing/2014/chart" uri="{C3380CC4-5D6E-409C-BE32-E72D297353CC}">
              <c16:uniqueId val="{00000000-0236-4894-913F-A70CAE02AB83}"/>
            </c:ext>
          </c:extLst>
        </c:ser>
        <c:dLbls>
          <c:showLegendKey val="0"/>
          <c:showVal val="0"/>
          <c:showCatName val="0"/>
          <c:showSerName val="0"/>
          <c:showPercent val="0"/>
          <c:showBubbleSize val="0"/>
        </c:dLbls>
        <c:marker val="1"/>
        <c:smooth val="0"/>
        <c:axId val="1553035167"/>
        <c:axId val="1553037247"/>
      </c:lineChart>
      <c:catAx>
        <c:axId val="155303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53037247"/>
        <c:crosses val="autoZero"/>
        <c:auto val="1"/>
        <c:lblAlgn val="ctr"/>
        <c:lblOffset val="100"/>
        <c:noMultiLvlLbl val="0"/>
      </c:catAx>
      <c:valAx>
        <c:axId val="1553037247"/>
        <c:scaling>
          <c:orientation val="minMax"/>
        </c:scaling>
        <c:delete val="1"/>
        <c:axPos val="l"/>
        <c:numFmt formatCode="_(* #,##0_);_(* \(#,##0\);_(* &quot;-&quot;??_);_(@_)" sourceLinked="1"/>
        <c:majorTickMark val="none"/>
        <c:minorTickMark val="none"/>
        <c:tickLblPos val="nextTo"/>
        <c:crossAx val="1553035167"/>
        <c:crosses val="autoZero"/>
        <c:crossBetween val="between"/>
      </c:valAx>
      <c:spPr>
        <a:solidFill>
          <a:schemeClr val="bg1"/>
        </a:solidFill>
        <a:ln>
          <a:noFill/>
        </a:ln>
        <a:effectLst/>
      </c:spPr>
    </c:plotArea>
    <c:plotVisOnly val="1"/>
    <c:dispBlanksAs val="gap"/>
    <c:showDLblsOverMax val="0"/>
  </c:chart>
  <c:spPr>
    <a:no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400" b="1">
                <a:solidFill>
                  <a:sysClr val="windowText" lastClr="000000"/>
                </a:solidFill>
              </a:rPr>
              <a:t>Afiliación del SFS por Régimen de Financiamiento</a:t>
            </a:r>
          </a:p>
        </c:rich>
      </c:tx>
      <c:layout>
        <c:manualLayout>
          <c:xMode val="edge"/>
          <c:yMode val="edge"/>
          <c:x val="0.14400108640266121"/>
          <c:y val="2.7441216868616811E-2"/>
        </c:manualLayout>
      </c:layout>
      <c:overlay val="0"/>
      <c:spPr>
        <a:noFill/>
        <a:ln>
          <a:noFill/>
        </a:ln>
        <a:effectLst/>
      </c:spPr>
      <c:txPr>
        <a:bodyPr rot="0" spcFirstLastPara="1" vertOverflow="ellipsis" vert="horz" wrap="square" anchor="ctr" anchorCtr="1"/>
        <a:lstStyle/>
        <a:p>
          <a:pPr>
            <a:defRPr sz="4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395122171333167"/>
          <c:y val="0.33290568568518841"/>
          <c:w val="0.49679962998894472"/>
          <c:h val="0.54694975036637761"/>
        </c:manualLayout>
      </c:layout>
      <c:doughnutChart>
        <c:varyColors val="1"/>
        <c:ser>
          <c:idx val="0"/>
          <c:order val="0"/>
          <c:dPt>
            <c:idx val="0"/>
            <c:bubble3D val="0"/>
            <c:spPr>
              <a:solidFill>
                <a:srgbClr val="00A94F"/>
              </a:solidFill>
              <a:ln w="19050">
                <a:solidFill>
                  <a:schemeClr val="lt1"/>
                </a:solidFill>
              </a:ln>
              <a:effectLst/>
            </c:spPr>
            <c:extLst>
              <c:ext xmlns:c16="http://schemas.microsoft.com/office/drawing/2014/chart" uri="{C3380CC4-5D6E-409C-BE32-E72D297353CC}">
                <c16:uniqueId val="{00000001-B17D-4640-87E3-BBAB737FBEA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17D-4640-87E3-BBAB737FBEA1}"/>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B17D-4640-87E3-BBAB737FBEA1}"/>
              </c:ext>
            </c:extLst>
          </c:dPt>
          <c:dLbls>
            <c:dLbl>
              <c:idx val="0"/>
              <c:layout>
                <c:manualLayout>
                  <c:x val="0.13484834665937029"/>
                  <c:y val="-0.13550060977226325"/>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17D-4640-87E3-BBAB737FBEA1}"/>
                </c:ext>
              </c:extLst>
            </c:dLbl>
            <c:dLbl>
              <c:idx val="1"/>
              <c:layout>
                <c:manualLayout>
                  <c:x val="-0.16353261585545051"/>
                  <c:y val="2.461988652933534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17D-4640-87E3-BBAB737FBEA1}"/>
                </c:ext>
              </c:extLst>
            </c:dLbl>
            <c:dLbl>
              <c:idx val="2"/>
              <c:layout>
                <c:manualLayout>
                  <c:x val="1.7792590115424761E-2"/>
                  <c:y val="-0.15244366234523718"/>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17D-4640-87E3-BBAB737FBEA1}"/>
                </c:ext>
              </c:extLst>
            </c:dLbl>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'III.1.4.Afil. SFS'!$B$4:$D$4</c:f>
              <c:strCache>
                <c:ptCount val="3"/>
                <c:pt idx="0">
                  <c:v> Afiliación  RC </c:v>
                </c:pt>
                <c:pt idx="1">
                  <c:v> Afiliación RS </c:v>
                </c:pt>
                <c:pt idx="2">
                  <c:v> Pensionados </c:v>
                </c:pt>
              </c:strCache>
            </c:strRef>
          </c:cat>
          <c:val>
            <c:numRef>
              <c:f>'III.1.4.Afil. SFS'!$B$22:$D$22</c:f>
              <c:numCache>
                <c:formatCode>_(* #,##0_);_(* \(#,##0\);_(* "-"??_);_(@_)</c:formatCode>
                <c:ptCount val="3"/>
                <c:pt idx="0">
                  <c:v>4750230</c:v>
                </c:pt>
                <c:pt idx="1">
                  <c:v>5697226</c:v>
                </c:pt>
                <c:pt idx="2">
                  <c:v>116976</c:v>
                </c:pt>
              </c:numCache>
            </c:numRef>
          </c:val>
          <c:extLst>
            <c:ext xmlns:c16="http://schemas.microsoft.com/office/drawing/2014/chart" uri="{C3380CC4-5D6E-409C-BE32-E72D297353CC}">
              <c16:uniqueId val="{00000006-B17D-4640-87E3-BBAB737FBEA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Total de Afiliados del SFS por Sexo y Tipo de Afiliación</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846938099321743"/>
          <c:y val="0.19571391076115482"/>
          <c:w val="0.52736460850809486"/>
          <c:h val="0.73077078433377651"/>
        </c:manualLayout>
      </c:layout>
      <c:barChart>
        <c:barDir val="bar"/>
        <c:grouping val="clustered"/>
        <c:varyColors val="0"/>
        <c:ser>
          <c:idx val="0"/>
          <c:order val="0"/>
          <c:tx>
            <c:strRef>
              <c:f>'INFOGRAFIA V2'!$R$29</c:f>
              <c:strCache>
                <c:ptCount val="1"/>
                <c:pt idx="0">
                  <c:v>Masculino</c:v>
                </c:pt>
              </c:strCache>
            </c:strRef>
          </c:tx>
          <c:spPr>
            <a:solidFill>
              <a:schemeClr val="accent1"/>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A-D07D-484D-98B6-289C4E6506CE}"/>
              </c:ext>
            </c:extLst>
          </c:dPt>
          <c:dPt>
            <c:idx val="1"/>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8-D07D-484D-98B6-289C4E6506CE}"/>
              </c:ext>
            </c:extLst>
          </c:dPt>
          <c:dPt>
            <c:idx val="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D07D-484D-98B6-289C4E6506CE}"/>
              </c:ext>
            </c:extLst>
          </c:dPt>
          <c:dLbls>
            <c:dLbl>
              <c:idx val="2"/>
              <c:layout>
                <c:manualLayout>
                  <c:x val="0"/>
                  <c:y val="1.3157894736842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7D-484D-98B6-289C4E6506CE}"/>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 V2'!$S$28:$U$28</c:f>
              <c:strCache>
                <c:ptCount val="3"/>
                <c:pt idx="0">
                  <c:v> Titulares RC</c:v>
                </c:pt>
                <c:pt idx="1">
                  <c:v>Dependientes   </c:v>
                </c:pt>
                <c:pt idx="2">
                  <c:v>Depend.  Directos  </c:v>
                </c:pt>
              </c:strCache>
            </c:strRef>
          </c:cat>
          <c:val>
            <c:numRef>
              <c:f>'INFOGRAFIA V2'!$S$29:$U$29</c:f>
              <c:numCache>
                <c:formatCode>#,##0</c:formatCode>
                <c:ptCount val="3"/>
                <c:pt idx="0">
                  <c:v>3597939</c:v>
                </c:pt>
                <c:pt idx="1">
                  <c:v>1506803</c:v>
                </c:pt>
                <c:pt idx="2">
                  <c:v>82266</c:v>
                </c:pt>
              </c:numCache>
            </c:numRef>
          </c:val>
          <c:extLst>
            <c:ext xmlns:c16="http://schemas.microsoft.com/office/drawing/2014/chart" uri="{C3380CC4-5D6E-409C-BE32-E72D297353CC}">
              <c16:uniqueId val="{00000000-D07D-484D-98B6-289C4E6506CE}"/>
            </c:ext>
          </c:extLst>
        </c:ser>
        <c:ser>
          <c:idx val="1"/>
          <c:order val="1"/>
          <c:tx>
            <c:strRef>
              <c:f>'INFOGRAFIA V2'!$R$30</c:f>
              <c:strCache>
                <c:ptCount val="1"/>
                <c:pt idx="0">
                  <c:v>Femenino</c:v>
                </c:pt>
              </c:strCache>
            </c:strRef>
          </c:tx>
          <c:spPr>
            <a:solidFill>
              <a:schemeClr val="accent3">
                <a:lumMod val="75000"/>
              </a:schemeClr>
            </a:solidFill>
            <a:ln>
              <a:noFill/>
            </a:ln>
            <a:effectLst/>
          </c:spPr>
          <c:invertIfNegative val="0"/>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2-D07D-484D-98B6-289C4E6506CE}"/>
              </c:ext>
            </c:extLst>
          </c:dPt>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4-D07D-484D-98B6-289C4E6506CE}"/>
              </c:ext>
            </c:extLst>
          </c:dPt>
          <c:dLbls>
            <c:dLbl>
              <c:idx val="0"/>
              <c:layout>
                <c:manualLayout>
                  <c:x val="5.6432053956501993E-3"/>
                  <c:y val="-1.53508771929824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7D-484D-98B6-289C4E6506CE}"/>
                </c:ext>
              </c:extLst>
            </c:dLbl>
            <c:dLbl>
              <c:idx val="1"/>
              <c:layout>
                <c:manualLayout>
                  <c:x val="1.1768779668238255E-2"/>
                  <c:y val="-1.072112371201683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7D-484D-98B6-289C4E6506CE}"/>
                </c:ext>
              </c:extLst>
            </c:dLbl>
            <c:dLbl>
              <c:idx val="2"/>
              <c:layout>
                <c:manualLayout>
                  <c:x val="2.2424666288842531E-3"/>
                  <c:y val="2.1929824561403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7D-484D-98B6-289C4E6506CE}"/>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'INFOGRAFIA V2'!$S$28:$U$28</c:f>
              <c:strCache>
                <c:ptCount val="3"/>
                <c:pt idx="0">
                  <c:v> Titulares RC</c:v>
                </c:pt>
                <c:pt idx="1">
                  <c:v>Dependientes   </c:v>
                </c:pt>
                <c:pt idx="2">
                  <c:v>Depend.  Directos  </c:v>
                </c:pt>
              </c:strCache>
            </c:strRef>
          </c:cat>
          <c:val>
            <c:numRef>
              <c:f>'INFOGRAFIA V2'!$S$30:$U$30</c:f>
              <c:numCache>
                <c:formatCode>#,##0</c:formatCode>
                <c:ptCount val="3"/>
                <c:pt idx="0">
                  <c:v>3398814</c:v>
                </c:pt>
                <c:pt idx="1">
                  <c:v>1662505</c:v>
                </c:pt>
                <c:pt idx="2">
                  <c:v>179275</c:v>
                </c:pt>
              </c:numCache>
            </c:numRef>
          </c:val>
          <c:extLst>
            <c:ext xmlns:c16="http://schemas.microsoft.com/office/drawing/2014/chart" uri="{C3380CC4-5D6E-409C-BE32-E72D297353CC}">
              <c16:uniqueId val="{00000001-D07D-484D-98B6-289C4E6506CE}"/>
            </c:ext>
          </c:extLst>
        </c:ser>
        <c:dLbls>
          <c:showLegendKey val="0"/>
          <c:showVal val="0"/>
          <c:showCatName val="0"/>
          <c:showSerName val="0"/>
          <c:showPercent val="0"/>
          <c:showBubbleSize val="0"/>
        </c:dLbls>
        <c:gapWidth val="75"/>
        <c:overlap val="40"/>
        <c:axId val="1540506944"/>
        <c:axId val="1540504448"/>
      </c:barChart>
      <c:catAx>
        <c:axId val="1540506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40504448"/>
        <c:crosses val="autoZero"/>
        <c:auto val="1"/>
        <c:lblAlgn val="ctr"/>
        <c:lblOffset val="100"/>
        <c:noMultiLvlLbl val="0"/>
      </c:catAx>
      <c:valAx>
        <c:axId val="1540504448"/>
        <c:scaling>
          <c:orientation val="minMax"/>
        </c:scaling>
        <c:delete val="1"/>
        <c:axPos val="b"/>
        <c:numFmt formatCode="#,##0" sourceLinked="1"/>
        <c:majorTickMark val="none"/>
        <c:minorTickMark val="none"/>
        <c:tickLblPos val="nextTo"/>
        <c:crossAx val="1540506944"/>
        <c:crosses val="autoZero"/>
        <c:crossBetween val="between"/>
      </c:valAx>
      <c:spPr>
        <a:noFill/>
        <a:ln>
          <a:noFill/>
        </a:ln>
        <a:effectLst/>
      </c:spPr>
    </c:plotArea>
    <c:legend>
      <c:legendPos val="r"/>
      <c:layout>
        <c:manualLayout>
          <c:xMode val="edge"/>
          <c:yMode val="edge"/>
          <c:x val="0.23693149391748375"/>
          <c:y val="0.13416240583563419"/>
          <c:w val="0.58558068184256262"/>
          <c:h val="6.8935381971058932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3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 de la Composición del Patrimonio de Fondos de Pensiones SVDS</a:t>
            </a:r>
          </a:p>
        </c:rich>
      </c:tx>
      <c:layout>
        <c:manualLayout>
          <c:xMode val="edge"/>
          <c:yMode val="edge"/>
          <c:x val="0.22150712173636522"/>
          <c:y val="5.8444940651075333E-2"/>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8982477265304349E-2"/>
          <c:y val="0.15608726774765802"/>
          <c:w val="0.94156834621024488"/>
          <c:h val="0.61940558900725662"/>
        </c:manualLayout>
      </c:layout>
      <c:lineChart>
        <c:grouping val="standard"/>
        <c:varyColors val="0"/>
        <c:ser>
          <c:idx val="1"/>
          <c:order val="0"/>
          <c:tx>
            <c:strRef>
              <c:f>'IV.3.9 Cartera Comp.'!$C$4</c:f>
              <c:strCache>
                <c:ptCount val="1"/>
                <c:pt idx="0">
                  <c:v>%</c:v>
                </c:pt>
              </c:strCache>
            </c:strRef>
          </c:tx>
          <c:spPr>
            <a:ln w="28575" cap="rnd">
              <a:solidFill>
                <a:schemeClr val="accent1">
                  <a:tint val="77000"/>
                </a:schemeClr>
              </a:solidFill>
              <a:round/>
            </a:ln>
            <a:effectLst/>
          </c:spPr>
          <c:marker>
            <c:symbol val="circle"/>
            <c:size val="40"/>
            <c:spPr>
              <a:solidFill>
                <a:schemeClr val="accent1">
                  <a:lumMod val="75000"/>
                </a:schemeClr>
              </a:solidFill>
              <a:ln w="9525">
                <a:solidFill>
                  <a:schemeClr val="accent1">
                    <a:tint val="77000"/>
                  </a:schemeClr>
                </a:solidFill>
              </a:ln>
              <a:effectLst/>
            </c:spPr>
          </c:marker>
          <c:dLbls>
            <c:dLbl>
              <c:idx val="1"/>
              <c:layout>
                <c:manualLayout>
                  <c:x val="-1.5299869750164287E-2"/>
                  <c:y val="-4.6177523264137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C-48A3-825B-18602E8BCEF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Comp.'!$C$5:$C$9</c:f>
              <c:numCache>
                <c:formatCode>0.0%</c:formatCode>
                <c:ptCount val="5"/>
                <c:pt idx="0">
                  <c:v>0.79513605895947426</c:v>
                </c:pt>
                <c:pt idx="1">
                  <c:v>0.11076048071783973</c:v>
                </c:pt>
                <c:pt idx="2">
                  <c:v>5.9020997929485793E-2</c:v>
                </c:pt>
                <c:pt idx="3">
                  <c:v>3.4910780224022948E-2</c:v>
                </c:pt>
                <c:pt idx="4">
                  <c:v>1.716821691773611E-4</c:v>
                </c:pt>
              </c:numCache>
            </c:numRef>
          </c:val>
          <c:smooth val="0"/>
          <c:extLst>
            <c:ext xmlns:c16="http://schemas.microsoft.com/office/drawing/2014/chart" uri="{C3380CC4-5D6E-409C-BE32-E72D297353CC}">
              <c16:uniqueId val="{00000001-79CC-48A3-825B-18602E8BCEFC}"/>
            </c:ext>
          </c:extLst>
        </c:ser>
        <c:dLbls>
          <c:showLegendKey val="0"/>
          <c:showVal val="0"/>
          <c:showCatName val="0"/>
          <c:showSerName val="0"/>
          <c:showPercent val="0"/>
          <c:showBubbleSize val="0"/>
        </c:dLbls>
        <c:marker val="1"/>
        <c:smooth val="0"/>
        <c:axId val="1219577168"/>
        <c:axId val="1219567600"/>
      </c:lineChart>
      <c:catAx>
        <c:axId val="121957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219567600"/>
        <c:crosses val="autoZero"/>
        <c:auto val="1"/>
        <c:lblAlgn val="ctr"/>
        <c:lblOffset val="100"/>
        <c:noMultiLvlLbl val="0"/>
      </c:catAx>
      <c:valAx>
        <c:axId val="12195676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21957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layout>
        <c:manualLayout>
          <c:xMode val="edge"/>
          <c:yMode val="edge"/>
          <c:x val="0.20639280938939236"/>
          <c:y val="8.1362200342653332E-3"/>
        </c:manualLayout>
      </c:layout>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5.5405229042502285E-3"/>
          <c:y val="0.34067728376058254"/>
          <c:w val="0.96200630637893814"/>
          <c:h val="0.42365118833829984"/>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40"/>
            <c:spPr>
              <a:solidFill>
                <a:schemeClr val="accent1">
                  <a:lumMod val="75000"/>
                </a:schemeClr>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'V.4.2.NA. Reportes ARL'!$E$5:$E$23</c15:sqref>
                  </c15:fullRef>
                </c:ext>
              </c:extLst>
              <c:f>'V.4.2.NA. Reportes ARL'!$E$13:$E$23</c:f>
              <c:numCache>
                <c:formatCode>0.0%</c:formatCode>
                <c:ptCount val="11"/>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0.98924988055422836</c:v>
                </c:pt>
                <c:pt idx="10">
                  <c:v>0.99128306167532387</c:v>
                </c:pt>
              </c:numCache>
            </c:numRef>
          </c:val>
          <c:smooth val="0"/>
          <c:extLst>
            <c:ext xmlns:c16="http://schemas.microsoft.com/office/drawing/2014/chart" uri="{C3380CC4-5D6E-409C-BE32-E72D297353CC}">
              <c16:uniqueId val="{00000000-49A6-40BC-A377-1C4CFB5D43A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40"/>
            <c:spPr>
              <a:solidFill>
                <a:srgbClr val="00A94F"/>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'V.4.2.NA. Reportes ARL'!$F$5:$F$23</c15:sqref>
                  </c15:fullRef>
                </c:ext>
              </c:extLst>
              <c:f>'V.4.2.NA. Reportes ARL'!$F$13:$F$23</c:f>
              <c:numCache>
                <c:formatCode>0.0%</c:formatCode>
                <c:ptCount val="11"/>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1.075011944577162E-2</c:v>
                </c:pt>
                <c:pt idx="10">
                  <c:v>8.7169383246761007E-3</c:v>
                </c:pt>
              </c:numCache>
            </c:numRef>
          </c:val>
          <c:smooth val="0"/>
          <c:extLst>
            <c:ext xmlns:c16="http://schemas.microsoft.com/office/drawing/2014/chart" uri="{C3380CC4-5D6E-409C-BE32-E72D297353CC}">
              <c16:uniqueId val="{00000001-49A6-40BC-A377-1C4CFB5D43A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5.0741951281247068E-2"/>
          <c:y val="0.16327745617163711"/>
          <c:w val="0.94716161266005272"/>
          <c:h val="4.6856928968643713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Reporte de Accidentes Laborales y Enfermedades Profesionales por Empresas</a:t>
            </a:r>
          </a:p>
        </c:rich>
      </c:tx>
      <c:layout>
        <c:manualLayout>
          <c:xMode val="edge"/>
          <c:yMode val="edge"/>
          <c:x val="9.9604403616214643E-2"/>
          <c:y val="4.4455571694314897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1767910955574999E-2"/>
          <c:y val="0.32502457495360848"/>
          <c:w val="0.97340339688943844"/>
          <c:h val="0.4295534714211679"/>
        </c:manualLayout>
      </c:layout>
      <c:barChart>
        <c:barDir val="col"/>
        <c:grouping val="clustered"/>
        <c:varyColors val="0"/>
        <c:ser>
          <c:idx val="0"/>
          <c:order val="0"/>
          <c:tx>
            <c:strRef>
              <c:f>'V.4.5. NA.Cant. accid x sector'!$B$4</c:f>
              <c:strCache>
                <c:ptCount val="1"/>
                <c:pt idx="0">
                  <c:v>Sector Público</c:v>
                </c:pt>
              </c:strCache>
            </c:strRef>
          </c:tx>
          <c:spPr>
            <a:solidFill>
              <a:srgbClr val="00A94F"/>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'V.4.5. NA.Cant. accid x sector'!$B$5:$B$23</c15:sqref>
                  </c15:fullRef>
                </c:ext>
              </c:extLst>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3481</c:v>
                </c:pt>
              </c:numCache>
            </c:numRef>
          </c:val>
          <c:extLst>
            <c:ext xmlns:c16="http://schemas.microsoft.com/office/drawing/2014/chart" uri="{C3380CC4-5D6E-409C-BE32-E72D297353CC}">
              <c16:uniqueId val="{00000002-27FA-442E-BD86-0F49B440CEAF}"/>
            </c:ext>
          </c:extLst>
        </c:ser>
        <c:ser>
          <c:idx val="1"/>
          <c:order val="1"/>
          <c:tx>
            <c:strRef>
              <c:f>'V.4.5. NA.Cant. accid x sector'!$C$4</c:f>
              <c:strCache>
                <c:ptCount val="1"/>
                <c:pt idx="0">
                  <c:v>Sector Privado</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'V.4.5. NA.Cant. accid x sector'!$C$5:$C$23</c15:sqref>
                  </c15:fullRef>
                </c:ext>
              </c:extLst>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13268</c:v>
                </c:pt>
              </c:numCache>
            </c:numRef>
          </c:val>
          <c:extLst>
            <c:ext xmlns:c16="http://schemas.microsoft.com/office/drawing/2014/chart" uri="{C3380CC4-5D6E-409C-BE32-E72D297353CC}">
              <c16:uniqueId val="{0000000F-27FA-442E-BD86-0F49B440CEAF}"/>
            </c:ext>
          </c:extLst>
        </c:ser>
        <c:dLbls>
          <c:showLegendKey val="0"/>
          <c:showVal val="0"/>
          <c:showCatName val="0"/>
          <c:showSerName val="0"/>
          <c:showPercent val="0"/>
          <c:showBubbleSize val="0"/>
        </c:dLbls>
        <c:gapWidth val="37"/>
        <c:axId val="436871480"/>
        <c:axId val="436871872"/>
      </c:bar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solidFill>
          <a:schemeClr val="bg1"/>
        </a:solidFill>
        <a:ln>
          <a:noFill/>
        </a:ln>
        <a:effectLst/>
      </c:spPr>
    </c:plotArea>
    <c:legend>
      <c:legendPos val="t"/>
      <c:layout>
        <c:manualLayout>
          <c:xMode val="edge"/>
          <c:yMode val="edge"/>
          <c:x val="0.18342096821230677"/>
          <c:y val="0.16110618454246614"/>
          <c:w val="0.59951394964518312"/>
          <c:h val="4.8680415674784837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4000"/>
            </a:pPr>
            <a:r>
              <a:rPr lang="es-DO" sz="4000"/>
              <a:t>Reporte de Accidentes Laborales y Enfermedades Profesionales por Sexo</a:t>
            </a:r>
          </a:p>
        </c:rich>
      </c:tx>
      <c:layout>
        <c:manualLayout>
          <c:xMode val="edge"/>
          <c:yMode val="edge"/>
          <c:x val="0.16147194751582794"/>
          <c:y val="3.6425398748233329E-3"/>
        </c:manualLayout>
      </c:layout>
      <c:overlay val="0"/>
    </c:title>
    <c:autoTitleDeleted val="0"/>
    <c:plotArea>
      <c:layout>
        <c:manualLayout>
          <c:layoutTarget val="inner"/>
          <c:xMode val="edge"/>
          <c:yMode val="edge"/>
          <c:x val="1.2824499316514918E-2"/>
          <c:y val="0.3535040379567938"/>
          <c:w val="0.96167577635269819"/>
          <c:h val="0.43473669326687697"/>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40"/>
            <c:spPr>
              <a:solidFill>
                <a:srgbClr val="00539B"/>
              </a:solidFill>
              <a:ln w="38100">
                <a:solidFill>
                  <a:srgbClr val="00539B"/>
                </a:solidFill>
              </a:ln>
            </c:spPr>
          </c:marker>
          <c:dLbls>
            <c:spPr>
              <a:noFill/>
              <a:ln>
                <a:noFill/>
              </a:ln>
              <a:effectLst/>
            </c:spPr>
            <c:txPr>
              <a:bodyPr rot="-5400000" vert="horz"/>
              <a:lstStyle/>
              <a:p>
                <a:pPr>
                  <a:defRPr sz="32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0.39309809540868113</c:v>
                </c:pt>
              </c:numCache>
            </c:numRef>
          </c:val>
          <c:smooth val="0"/>
          <c:extLst>
            <c:ext xmlns:c16="http://schemas.microsoft.com/office/drawing/2014/chart" uri="{C3380CC4-5D6E-409C-BE32-E72D297353CC}">
              <c16:uniqueId val="{00000000-95B9-4762-ACDB-971CCC57543C}"/>
            </c:ext>
          </c:extLst>
        </c:ser>
        <c:ser>
          <c:idx val="1"/>
          <c:order val="1"/>
          <c:tx>
            <c:strRef>
              <c:f>'V.4.6. Accid x sexo'!$F$4</c:f>
              <c:strCache>
                <c:ptCount val="1"/>
                <c:pt idx="0">
                  <c:v>% Masculino</c:v>
                </c:pt>
              </c:strCache>
            </c:strRef>
          </c:tx>
          <c:spPr>
            <a:ln w="38100">
              <a:solidFill>
                <a:srgbClr val="00A94F"/>
              </a:solidFill>
            </a:ln>
          </c:spPr>
          <c:marker>
            <c:symbol val="circle"/>
            <c:size val="40"/>
            <c:spPr>
              <a:solidFill>
                <a:srgbClr val="00A94F"/>
              </a:solidFill>
              <a:ln w="38100">
                <a:solidFill>
                  <a:srgbClr val="00A94F"/>
                </a:solidFill>
              </a:ln>
            </c:spPr>
          </c:marker>
          <c:dLbls>
            <c:spPr>
              <a:noFill/>
              <a:ln>
                <a:noFill/>
              </a:ln>
              <a:effectLst/>
            </c:spPr>
            <c:txPr>
              <a:bodyPr rot="-5400000" vert="horz"/>
              <a:lstStyle/>
              <a:p>
                <a:pPr>
                  <a:defRPr sz="3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0.60690190459131887</c:v>
                </c:pt>
              </c:numCache>
            </c:numRef>
          </c:val>
          <c:smooth val="0"/>
          <c:extLst>
            <c:ext xmlns:c16="http://schemas.microsoft.com/office/drawing/2014/chart" uri="{C3380CC4-5D6E-409C-BE32-E72D297353CC}">
              <c16:uniqueId val="{00000001-95B9-4762-ACDB-971CCC57543C}"/>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32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7683370421088666"/>
          <c:y val="0.11749065457726875"/>
          <c:w val="0.52620582854950604"/>
          <c:h val="5.4968916721963031E-2"/>
        </c:manualLayout>
      </c:layout>
      <c:overlay val="0"/>
    </c:legend>
    <c:plotVisOnly val="1"/>
    <c:dispBlanksAs val="gap"/>
    <c:showDLblsOverMax val="0"/>
  </c:chart>
  <c:spPr>
    <a:ln>
      <a:noFill/>
    </a:ln>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8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9.2194670721104918E-2"/>
          <c:y val="0.10673175853018371"/>
        </c:manualLayout>
      </c:layout>
      <c:overlay val="0"/>
      <c:spPr>
        <a:noFill/>
        <a:ln>
          <a:noFill/>
        </a:ln>
        <a:effectLst/>
      </c:spPr>
      <c:txPr>
        <a:bodyPr rot="0" spcFirstLastPara="1" vertOverflow="ellipsis" vert="horz" wrap="square" anchor="ctr" anchorCtr="1"/>
        <a:lstStyle/>
        <a:p>
          <a:pPr>
            <a:defRPr sz="48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9511613246146438E-2"/>
          <c:y val="0.24588372703412073"/>
          <c:w val="0.92733428925779882"/>
          <c:h val="0.44472882786636592"/>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13361</c:v>
                </c:pt>
                <c:pt idx="1">
                  <c:v>4846</c:v>
                </c:pt>
                <c:pt idx="2">
                  <c:v>16262</c:v>
                </c:pt>
                <c:pt idx="3">
                  <c:v>39362.04</c:v>
                </c:pt>
              </c:numCache>
            </c:numRef>
          </c:val>
          <c:extLst>
            <c:ext xmlns:c16="http://schemas.microsoft.com/office/drawing/2014/chart" uri="{C3380CC4-5D6E-409C-BE32-E72D297353CC}">
              <c16:uniqueId val="{00000000-5D94-4EE1-BAEE-263BE7B55B7B}"/>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1247752322416989E-2"/>
          <c:y val="0.31381098704125399"/>
          <c:w val="0.94954776399405449"/>
          <c:h val="0.44886227659591066"/>
        </c:manualLayout>
      </c:layout>
      <c:lineChart>
        <c:grouping val="stacked"/>
        <c:varyColors val="0"/>
        <c:ser>
          <c:idx val="0"/>
          <c:order val="0"/>
          <c:tx>
            <c:strRef>
              <c:f>'IV.3.7. Rent. nom. de los FP'!$B$5</c:f>
              <c:strCache>
                <c:ptCount val="1"/>
                <c:pt idx="0">
                  <c:v>Promedio CCI </c:v>
                </c:pt>
              </c:strCache>
            </c:strRef>
          </c:tx>
          <c:spPr>
            <a:ln w="28575" cap="rnd" cmpd="sng" algn="ctr">
              <a:solidFill>
                <a:srgbClr val="00A94F"/>
              </a:solidFill>
              <a:prstDash val="solid"/>
              <a:round/>
            </a:ln>
            <a:effectLst/>
          </c:spPr>
          <c:marker>
            <c:symbol val="circle"/>
            <c:size val="36"/>
            <c:spPr>
              <a:solidFill>
                <a:srgbClr val="00A94F"/>
              </a:solidFill>
              <a:ln w="9525" cap="flat" cmpd="sng" algn="ctr">
                <a:solidFill>
                  <a:schemeClr val="accent6">
                    <a:shade val="95000"/>
                    <a:satMod val="105000"/>
                  </a:schemeClr>
                </a:solidFill>
                <a:prstDash val="solid"/>
                <a:round/>
              </a:ln>
              <a:effectLst/>
            </c:spPr>
          </c:marker>
          <c:dLbls>
            <c:dLbl>
              <c:idx val="90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35-4A04-BF28-FD6C6C520714}"/>
                </c:ext>
              </c:extLst>
            </c:dLbl>
            <c:dLbl>
              <c:idx val="90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35-4A04-BF28-FD6C6C520714}"/>
                </c:ext>
              </c:extLst>
            </c:dLbl>
            <c:spPr>
              <a:noFill/>
              <a:ln>
                <a:noFill/>
              </a:ln>
              <a:effectLst/>
            </c:spPr>
            <c:txPr>
              <a:bodyPr rot="-5400000" spcFirstLastPara="1" vertOverflow="ellipsis"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45748</c:v>
                </c:pt>
              </c:numCache>
            </c:numRef>
          </c:cat>
          <c:val>
            <c:numRef>
              <c:extLst>
                <c:ext xmlns:c15="http://schemas.microsoft.com/office/drawing/2012/chart" uri="{02D57815-91ED-43cb-92C2-25804820EDAC}">
                  <c15:fullRef>
                    <c15:sqref>'IV.3.7. Rent. nom. de los FP'!$B$6:$B$41</c15:sqref>
                  </c15:fullRef>
                </c:ext>
              </c:extLst>
              <c:f>('IV.3.7. Rent. nom. de los FP'!$B$6:$B$19,'IV.3.7. Rent. nom. de los FP'!$B$21,'IV.3.7. Rent. nom. de los FP'!$B$23,'IV.3.7. Rent. nom. de los FP'!$B$25,'IV.3.7. Rent. nom. de los FP'!$B$27,'IV.3.7. Rent. nom. de los FP'!$B$29:$B$41)</c:f>
              <c:numCache>
                <c:formatCode>0.00%</c:formatCode>
                <c:ptCount val="11"/>
                <c:pt idx="0">
                  <c:v>0.10699132529452618</c:v>
                </c:pt>
                <c:pt idx="1">
                  <c:v>9.8297349429762718E-2</c:v>
                </c:pt>
                <c:pt idx="2">
                  <c:v>0.1082</c:v>
                </c:pt>
                <c:pt idx="3">
                  <c:v>7.7600000000000002E-2</c:v>
                </c:pt>
                <c:pt idx="4">
                  <c:v>0.10809646211624585</c:v>
                </c:pt>
                <c:pt idx="5">
                  <c:v>0.1028</c:v>
                </c:pt>
                <c:pt idx="6">
                  <c:v>0.1215</c:v>
                </c:pt>
                <c:pt idx="7">
                  <c:v>5.5199999999999999E-2</c:v>
                </c:pt>
                <c:pt idx="8">
                  <c:v>8.7400000000000005E-2</c:v>
                </c:pt>
                <c:pt idx="9">
                  <c:v>9.9900000000000003E-2</c:v>
                </c:pt>
                <c:pt idx="10">
                  <c:v>9.4E-2</c:v>
                </c:pt>
              </c:numCache>
            </c:numRef>
          </c:val>
          <c:smooth val="0"/>
          <c:extLst>
            <c:ext xmlns:c16="http://schemas.microsoft.com/office/drawing/2014/chart" uri="{C3380CC4-5D6E-409C-BE32-E72D297353CC}">
              <c16:uniqueId val="{00000002-5335-4A04-BF28-FD6C6C520714}"/>
            </c:ext>
          </c:extLst>
        </c:ser>
        <c:ser>
          <c:idx val="1"/>
          <c:order val="1"/>
          <c:tx>
            <c:strRef>
              <c:f>'IV.3.7. Rent. nom. de los FP'!$C$5</c:f>
              <c:strCache>
                <c:ptCount val="1"/>
                <c:pt idx="0">
                  <c:v>Promedio Sistema</c:v>
                </c:pt>
              </c:strCache>
            </c:strRef>
          </c:tx>
          <c:spPr>
            <a:ln w="28575" cap="rnd" cmpd="sng" algn="ctr">
              <a:solidFill>
                <a:schemeClr val="accent1">
                  <a:lumMod val="75000"/>
                </a:schemeClr>
              </a:solidFill>
              <a:prstDash val="solid"/>
              <a:round/>
            </a:ln>
            <a:effectLst/>
          </c:spPr>
          <c:marker>
            <c:symbol val="circle"/>
            <c:size val="36"/>
            <c:spPr>
              <a:solidFill>
                <a:schemeClr val="accent1">
                  <a:lumMod val="75000"/>
                </a:schemeClr>
              </a:solidFill>
              <a:ln w="9525" cap="flat" cmpd="sng" algn="ctr">
                <a:solidFill>
                  <a:schemeClr val="accent5">
                    <a:shade val="95000"/>
                    <a:satMod val="105000"/>
                  </a:schemeClr>
                </a:solidFill>
                <a:prstDash val="solid"/>
                <a:round/>
              </a:ln>
              <a:effectLst/>
            </c:spPr>
          </c:marker>
          <c:dLbls>
            <c:dLbl>
              <c:idx val="90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35-4A04-BF28-FD6C6C520714}"/>
                </c:ext>
              </c:extLst>
            </c:dLbl>
            <c:spPr>
              <a:noFill/>
              <a:ln>
                <a:noFill/>
              </a:ln>
              <a:effectLst/>
            </c:spPr>
            <c:txPr>
              <a:bodyPr rot="-5400000" spcFirstLastPara="1" vertOverflow="ellipsis"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45748</c:v>
                </c:pt>
              </c:numCache>
            </c:numRef>
          </c:cat>
          <c:val>
            <c:numRef>
              <c:extLst>
                <c:ext xmlns:c15="http://schemas.microsoft.com/office/drawing/2012/chart" uri="{02D57815-91ED-43cb-92C2-25804820EDAC}">
                  <c15:fullRef>
                    <c15:sqref>'IV.3.7. Rent. nom. de los FP'!$C$6:$C$41</c15:sqref>
                  </c15:fullRef>
                </c:ext>
              </c:extLst>
              <c:f>('IV.3.7. Rent. nom. de los FP'!$C$6:$C$19,'IV.3.7. Rent. nom. de los FP'!$C$21,'IV.3.7. Rent. nom. de los FP'!$C$23,'IV.3.7. Rent. nom. de los FP'!$C$25,'IV.3.7. Rent. nom. de los FP'!$C$27,'IV.3.7. Rent. nom. de los FP'!$C$29:$C$41)</c:f>
              <c:numCache>
                <c:formatCode>0.00%</c:formatCode>
                <c:ptCount val="11"/>
                <c:pt idx="0">
                  <c:v>0.11080081164274938</c:v>
                </c:pt>
                <c:pt idx="1">
                  <c:v>0.10235589284546419</c:v>
                </c:pt>
                <c:pt idx="2">
                  <c:v>0.11070000000000001</c:v>
                </c:pt>
                <c:pt idx="3">
                  <c:v>8.2600000000000007E-2</c:v>
                </c:pt>
                <c:pt idx="4">
                  <c:v>0.10823910973861361</c:v>
                </c:pt>
                <c:pt idx="5">
                  <c:v>0.1021</c:v>
                </c:pt>
                <c:pt idx="6">
                  <c:v>0.12</c:v>
                </c:pt>
                <c:pt idx="7">
                  <c:v>6.0999999999999999E-2</c:v>
                </c:pt>
                <c:pt idx="8">
                  <c:v>8.8999999999999996E-2</c:v>
                </c:pt>
                <c:pt idx="9">
                  <c:v>0.1</c:v>
                </c:pt>
                <c:pt idx="10">
                  <c:v>9.6000000000000002E-2</c:v>
                </c:pt>
              </c:numCache>
            </c:numRef>
          </c:val>
          <c:smooth val="0"/>
          <c:extLst>
            <c:ext xmlns:c16="http://schemas.microsoft.com/office/drawing/2014/chart" uri="{C3380CC4-5D6E-409C-BE32-E72D297353CC}">
              <c16:uniqueId val="{00000004-5335-4A04-BF28-FD6C6C520714}"/>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16850965456076139"/>
          <c:y val="0.13903504167242253"/>
          <c:w val="0.42543622573054829"/>
          <c:h val="4.6516841644794402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Dispersión a las Administradora de Riesgos de Salud (ARS) </a:t>
            </a:r>
          </a:p>
        </c:rich>
      </c:tx>
      <c:layout>
        <c:manualLayout>
          <c:xMode val="edge"/>
          <c:yMode val="edge"/>
          <c:x val="0.20950415573053369"/>
          <c:y val="6.8702290076335881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0419783988662759"/>
          <c:y val="0.21101679225580677"/>
          <c:w val="0.88179829417057465"/>
          <c:h val="0.44692913385826777"/>
        </c:manualLayout>
      </c:layout>
      <c:barChart>
        <c:barDir val="col"/>
        <c:grouping val="clustered"/>
        <c:varyColors val="0"/>
        <c:ser>
          <c:idx val="0"/>
          <c:order val="0"/>
          <c:spPr>
            <a:solidFill>
              <a:srgbClr val="00539B"/>
            </a:solidFill>
            <a:ln>
              <a:solidFill>
                <a:schemeClr val="bg1"/>
              </a:solidFill>
            </a:ln>
            <a:effectLst/>
          </c:spPr>
          <c:invertIfNegative val="0"/>
          <c:dLbls>
            <c:spPr>
              <a:noFill/>
              <a:ln>
                <a:noFill/>
              </a:ln>
              <a:effectLst/>
            </c:spPr>
            <c:txPr>
              <a:bodyPr rot="-5400000" spcFirstLastPara="1" vertOverflow="ellipsis" wrap="square" anchor="ctr" anchorCtr="1"/>
              <a:lstStyle/>
              <a:p>
                <a:pPr>
                  <a:defRPr sz="4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'IV.2.4.Pagos x ARS'!$B$5:$B$21</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ARS'!$D$5:$D$21</c:f>
              <c:numCache>
                <c:formatCode>_(* #,##0.00_);_(* \(#,##0.00\);_(* "-"??_);_(@_)</c:formatCode>
                <c:ptCount val="17"/>
                <c:pt idx="0">
                  <c:v>7898982677.7200003</c:v>
                </c:pt>
                <c:pt idx="1">
                  <c:v>12204346038.09</c:v>
                </c:pt>
                <c:pt idx="2">
                  <c:v>3365590021.23</c:v>
                </c:pt>
                <c:pt idx="3">
                  <c:v>1784407976</c:v>
                </c:pt>
                <c:pt idx="4">
                  <c:v>975052504.16999996</c:v>
                </c:pt>
                <c:pt idx="5">
                  <c:v>2286130061.0799999</c:v>
                </c:pt>
                <c:pt idx="6">
                  <c:v>568222027.25</c:v>
                </c:pt>
                <c:pt idx="7">
                  <c:v>531564283.54000002</c:v>
                </c:pt>
                <c:pt idx="8">
                  <c:v>796691715.95000005</c:v>
                </c:pt>
                <c:pt idx="9">
                  <c:v>765821553.09000003</c:v>
                </c:pt>
                <c:pt idx="10">
                  <c:v>585935000.46000004</c:v>
                </c:pt>
                <c:pt idx="11">
                  <c:v>142550007.87</c:v>
                </c:pt>
                <c:pt idx="12">
                  <c:v>171135577.59999999</c:v>
                </c:pt>
                <c:pt idx="13">
                  <c:v>353305327.04000002</c:v>
                </c:pt>
                <c:pt idx="14">
                  <c:v>254730852.94999999</c:v>
                </c:pt>
                <c:pt idx="15">
                  <c:v>361353193.30000001</c:v>
                </c:pt>
                <c:pt idx="16">
                  <c:v>52782248.979999997</c:v>
                </c:pt>
              </c:numCache>
            </c:numRef>
          </c:val>
          <c:extLst>
            <c:ext xmlns:c16="http://schemas.microsoft.com/office/drawing/2014/chart" uri="{C3380CC4-5D6E-409C-BE32-E72D297353CC}">
              <c16:uniqueId val="{00000000-5998-410E-9FE1-0120E2ED5BBF}"/>
            </c:ext>
          </c:extLst>
        </c:ser>
        <c:dLbls>
          <c:showLegendKey val="0"/>
          <c:showVal val="0"/>
          <c:showCatName val="0"/>
          <c:showSerName val="0"/>
          <c:showPercent val="0"/>
          <c:showBubbleSize val="0"/>
        </c:dLbls>
        <c:gapWidth val="38"/>
        <c:axId val="342499887"/>
        <c:axId val="342506959"/>
      </c:barChart>
      <c:catAx>
        <c:axId val="34249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42506959"/>
        <c:crosses val="autoZero"/>
        <c:auto val="1"/>
        <c:lblAlgn val="ctr"/>
        <c:lblOffset val="100"/>
        <c:noMultiLvlLbl val="0"/>
      </c:catAx>
      <c:valAx>
        <c:axId val="342506959"/>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342499887"/>
        <c:crosses val="autoZero"/>
        <c:crossBetween val="between"/>
        <c:dispUnits>
          <c:builtInUnit val="billions"/>
          <c:dispUnitsLbl>
            <c:layout>
              <c:manualLayout>
                <c:xMode val="edge"/>
                <c:yMode val="edge"/>
                <c:x val="3.489814365621359E-2"/>
                <c:y val="0.30897163660993987"/>
              </c:manualLayout>
            </c:layout>
            <c:spPr>
              <a:noFill/>
              <a:ln>
                <a:noFill/>
              </a:ln>
              <a:effectLst/>
            </c:spPr>
            <c:txPr>
              <a:bodyPr rot="-5400000" spcFirstLastPara="1" vertOverflow="ellipsis" vert="horz" wrap="square" anchor="ctr" anchorCtr="1"/>
              <a:lstStyle/>
              <a:p>
                <a:pPr>
                  <a:defRPr sz="4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ispUnitsLbl>
        </c:dispUnits>
      </c:valAx>
      <c:spPr>
        <a:noFill/>
        <a:ln>
          <a:noFill/>
        </a:ln>
        <a:effectLst/>
      </c:spPr>
    </c:plotArea>
    <c:plotVisOnly val="1"/>
    <c:dispBlanksAs val="zero"/>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05730533683284E-2"/>
          <c:y val="0.15386499503096093"/>
          <c:w val="0.909062430911039"/>
          <c:h val="0.48379313050984907"/>
        </c:manualLayout>
      </c:layout>
      <c:barChart>
        <c:barDir val="col"/>
        <c:grouping val="clustered"/>
        <c:varyColors val="0"/>
        <c:ser>
          <c:idx val="0"/>
          <c:order val="0"/>
          <c:tx>
            <c:v>Regimen Subsidiado</c:v>
          </c:tx>
          <c:spPr>
            <a:solidFill>
              <a:srgbClr val="00A94F"/>
            </a:solidFill>
            <a:ln>
              <a:noFill/>
            </a:ln>
            <a:effectLst/>
          </c:spPr>
          <c:invertIfNegative val="0"/>
          <c:dLbls>
            <c:spPr>
              <a:noFill/>
              <a:ln>
                <a:noFill/>
              </a:ln>
              <a:effectLst/>
            </c:spPr>
            <c:txPr>
              <a:bodyPr rot="-5400000" spcFirstLastPara="1" vertOverflow="ellipsis" wrap="square" anchor="ctr" anchorCtr="1"/>
              <a:lstStyle/>
              <a:p>
                <a:pPr>
                  <a:defRPr sz="3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 V1'!$S$183:$S$188</c:f>
              <c:strCache>
                <c:ptCount val="6"/>
                <c:pt idx="0">
                  <c:v>ene 2012-dic 2013</c:v>
                </c:pt>
                <c:pt idx="1">
                  <c:v>ene 2014-dic 2016</c:v>
                </c:pt>
                <c:pt idx="2">
                  <c:v>ene2017-ene 2018</c:v>
                </c:pt>
                <c:pt idx="3">
                  <c:v>feb 2018-mar 2020</c:v>
                </c:pt>
                <c:pt idx="4">
                  <c:v>abr 2020-dic 2021</c:v>
                </c:pt>
                <c:pt idx="5">
                  <c:v>ene 2022.</c:v>
                </c:pt>
              </c:strCache>
            </c:strRef>
          </c:cat>
          <c:val>
            <c:numRef>
              <c:f>'INFOGRAFIA V1'!$T$183:$T$188</c:f>
              <c:numCache>
                <c:formatCode>#,##0.00</c:formatCode>
                <c:ptCount val="6"/>
                <c:pt idx="0">
                  <c:v>181.34</c:v>
                </c:pt>
                <c:pt idx="1">
                  <c:v>201.34</c:v>
                </c:pt>
                <c:pt idx="2">
                  <c:v>216.38</c:v>
                </c:pt>
                <c:pt idx="3">
                  <c:v>220.38</c:v>
                </c:pt>
                <c:pt idx="4">
                  <c:v>237.38</c:v>
                </c:pt>
                <c:pt idx="5">
                  <c:v>259.43</c:v>
                </c:pt>
              </c:numCache>
            </c:numRef>
          </c:val>
          <c:extLst>
            <c:ext xmlns:c16="http://schemas.microsoft.com/office/drawing/2014/chart" uri="{C3380CC4-5D6E-409C-BE32-E72D297353CC}">
              <c16:uniqueId val="{00000000-F14E-4006-AB8F-FCEEBB24BF6B}"/>
            </c:ext>
          </c:extLst>
        </c:ser>
        <c:dLbls>
          <c:showLegendKey val="0"/>
          <c:showVal val="0"/>
          <c:showCatName val="0"/>
          <c:showSerName val="0"/>
          <c:showPercent val="0"/>
          <c:showBubbleSize val="0"/>
        </c:dLbls>
        <c:gapWidth val="98"/>
        <c:overlap val="-27"/>
        <c:axId val="771404751"/>
        <c:axId val="771381455"/>
      </c:barChart>
      <c:catAx>
        <c:axId val="77140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71381455"/>
        <c:crosses val="autoZero"/>
        <c:auto val="1"/>
        <c:lblAlgn val="ctr"/>
        <c:lblOffset val="100"/>
        <c:noMultiLvlLbl val="0"/>
      </c:catAx>
      <c:valAx>
        <c:axId val="771381455"/>
        <c:scaling>
          <c:orientation val="minMax"/>
        </c:scaling>
        <c:delete val="1"/>
        <c:axPos val="l"/>
        <c:numFmt formatCode="#,##0.00" sourceLinked="1"/>
        <c:majorTickMark val="none"/>
        <c:minorTickMark val="none"/>
        <c:tickLblPos val="nextTo"/>
        <c:crossAx val="7714047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Evolución Histórica de Afiliados y Cotizantes del SVDS</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108274005685392E-2"/>
          <c:y val="0.24180690648962994"/>
          <c:w val="0.94308864347228161"/>
          <c:h val="0.46704252654692674"/>
        </c:manualLayout>
      </c:layout>
      <c:barChart>
        <c:barDir val="col"/>
        <c:grouping val="clustered"/>
        <c:varyColors val="0"/>
        <c:ser>
          <c:idx val="0"/>
          <c:order val="0"/>
          <c:tx>
            <c:strRef>
              <c:f>'III.5.3.Afil. SVDS'!$B$4</c:f>
              <c:strCache>
                <c:ptCount val="1"/>
                <c:pt idx="0">
                  <c:v>Cotizantes</c:v>
                </c:pt>
              </c:strCache>
            </c:strRef>
          </c:tx>
          <c:spPr>
            <a:solidFill>
              <a:schemeClr val="accent1">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Abr.2025</c:v>
                </c:pt>
              </c:strCache>
            </c:strRef>
          </c:cat>
          <c:val>
            <c:numRef>
              <c:extLst>
                <c:ext xmlns:c15="http://schemas.microsoft.com/office/drawing/2012/chart" uri="{02D57815-91ED-43cb-92C2-25804820EDAC}">
                  <c15:fullRef>
                    <c15:sqref>'III.5.3.Afil. SVDS'!$B$5:$B$22</c15:sqref>
                  </c15:fullRef>
                </c:ext>
              </c:extLst>
              <c:f>'III.5.3.Afil. SVDS'!$B$12:$B$22</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2226931</c:v>
                </c:pt>
              </c:numCache>
            </c:numRef>
          </c:val>
          <c:extLst>
            <c:ext xmlns:c16="http://schemas.microsoft.com/office/drawing/2014/chart" uri="{C3380CC4-5D6E-409C-BE32-E72D297353CC}">
              <c16:uniqueId val="{00000000-35B6-445C-8BE3-15C1B8E329D9}"/>
            </c:ext>
          </c:extLst>
        </c:ser>
        <c:ser>
          <c:idx val="1"/>
          <c:order val="1"/>
          <c:tx>
            <c:strRef>
              <c:f>'III.5.3.Afil. SVDS'!$C$4</c:f>
              <c:strCache>
                <c:ptCount val="1"/>
                <c:pt idx="0">
                  <c:v>Afiliados </c:v>
                </c:pt>
              </c:strCache>
            </c:strRef>
          </c:tx>
          <c:spPr>
            <a:solidFill>
              <a:srgbClr val="00A94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Abr.2025</c:v>
                </c:pt>
              </c:strCache>
            </c:strRef>
          </c:cat>
          <c:val>
            <c:numRef>
              <c:extLst>
                <c:ext xmlns:c15="http://schemas.microsoft.com/office/drawing/2012/chart" uri="{02D57815-91ED-43cb-92C2-25804820EDAC}">
                  <c15:fullRef>
                    <c15:sqref>'III.5.3.Afil. SVDS'!$C$5:$C$22</c15:sqref>
                  </c15:fullRef>
                </c:ext>
              </c:extLst>
              <c:f>'III.5.3.Afil. SVDS'!$C$12:$C$22</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5392563</c:v>
                </c:pt>
              </c:numCache>
            </c:numRef>
          </c:val>
          <c:extLst>
            <c:ext xmlns:c16="http://schemas.microsoft.com/office/drawing/2014/chart" uri="{C3380CC4-5D6E-409C-BE32-E72D297353CC}">
              <c16:uniqueId val="{00000001-35B6-445C-8BE3-15C1B8E329D9}"/>
            </c:ext>
          </c:extLst>
        </c:ser>
        <c:dLbls>
          <c:showLegendKey val="0"/>
          <c:showVal val="0"/>
          <c:showCatName val="0"/>
          <c:showSerName val="0"/>
          <c:showPercent val="0"/>
          <c:showBubbleSize val="0"/>
        </c:dLbls>
        <c:gapWidth val="70"/>
        <c:overlap val="4"/>
        <c:axId val="605987488"/>
        <c:axId val="605987904"/>
      </c:barChart>
      <c:catAx>
        <c:axId val="605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05987904"/>
        <c:crosses val="autoZero"/>
        <c:auto val="1"/>
        <c:lblAlgn val="ctr"/>
        <c:lblOffset val="100"/>
        <c:noMultiLvlLbl val="0"/>
      </c:catAx>
      <c:valAx>
        <c:axId val="605987904"/>
        <c:scaling>
          <c:orientation val="minMax"/>
        </c:scaling>
        <c:delete val="1"/>
        <c:axPos val="l"/>
        <c:numFmt formatCode="#,##0" sourceLinked="1"/>
        <c:majorTickMark val="none"/>
        <c:minorTickMark val="none"/>
        <c:tickLblPos val="nextTo"/>
        <c:crossAx val="605987488"/>
        <c:crosses val="autoZero"/>
        <c:crossBetween val="between"/>
      </c:valAx>
      <c:spPr>
        <a:noFill/>
        <a:ln>
          <a:noFill/>
        </a:ln>
        <a:effectLst/>
      </c:spPr>
    </c:plotArea>
    <c:legend>
      <c:legendPos val="b"/>
      <c:layout>
        <c:manualLayout>
          <c:xMode val="edge"/>
          <c:yMode val="edge"/>
          <c:x val="0.26516215054968661"/>
          <c:y val="8.3712314676881602E-2"/>
          <c:w val="0.46374450079861013"/>
          <c:h val="6.155795559338866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i="0" baseline="0">
                <a:solidFill>
                  <a:sysClr val="windowText" lastClr="000000"/>
                </a:solidFill>
                <a:effectLst/>
              </a:rPr>
              <a:t>Cantidad de Pensiones por Tipo de Beneficios del SVDS </a:t>
            </a:r>
            <a:endParaRPr lang="es-DO" sz="40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999319884284536E-2"/>
          <c:y val="8.6054586832235117E-2"/>
          <c:w val="0.9760006801157155"/>
          <c:h val="0.82064657580453049"/>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539B"/>
              </a:solidFill>
              <a:ln>
                <a:noFill/>
              </a:ln>
              <a:effectLst/>
            </c:spPr>
            <c:extLst>
              <c:ext xmlns:c16="http://schemas.microsoft.com/office/drawing/2014/chart" uri="{C3380CC4-5D6E-409C-BE32-E72D297353CC}">
                <c16:uniqueId val="{00000001-7C2C-44A6-9A23-0962A81828BE}"/>
              </c:ext>
            </c:extLst>
          </c:dPt>
          <c:dPt>
            <c:idx val="1"/>
            <c:invertIfNegative val="0"/>
            <c:bubble3D val="0"/>
            <c:spPr>
              <a:solidFill>
                <a:srgbClr val="00A94F"/>
              </a:solidFill>
              <a:ln>
                <a:noFill/>
              </a:ln>
              <a:effectLst/>
            </c:spPr>
            <c:extLst>
              <c:ext xmlns:c16="http://schemas.microsoft.com/office/drawing/2014/chart" uri="{C3380CC4-5D6E-409C-BE32-E72D297353CC}">
                <c16:uniqueId val="{00000000-7C2C-44A6-9A23-0962A81828BE}"/>
              </c:ext>
            </c:extLst>
          </c:dPt>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'V.3.2 Pensiones por año'!$B$5:$D$5</c:f>
              <c:strCache>
                <c:ptCount val="3"/>
                <c:pt idx="0">
                  <c:v>Discapacidad</c:v>
                </c:pt>
                <c:pt idx="1">
                  <c:v>Sobrevivencia</c:v>
                </c:pt>
                <c:pt idx="2">
                  <c:v> Retiro Programado </c:v>
                </c:pt>
              </c:strCache>
            </c:strRef>
          </c:cat>
          <c:val>
            <c:numRef>
              <c:f>'V.3.2 Pensiones por año'!$B$25:$D$25</c:f>
              <c:numCache>
                <c:formatCode>#,##0</c:formatCode>
                <c:ptCount val="3"/>
                <c:pt idx="0">
                  <c:v>18413</c:v>
                </c:pt>
                <c:pt idx="1">
                  <c:v>16262</c:v>
                </c:pt>
                <c:pt idx="2">
                  <c:v>78</c:v>
                </c:pt>
              </c:numCache>
            </c:numRef>
          </c:val>
          <c:extLst>
            <c:ext xmlns:c16="http://schemas.microsoft.com/office/drawing/2014/chart" uri="{C3380CC4-5D6E-409C-BE32-E72D297353CC}">
              <c16:uniqueId val="{00000000-E9C6-4074-A7F5-CA3E028D30C0}"/>
            </c:ext>
          </c:extLst>
        </c:ser>
        <c:dLbls>
          <c:showLegendKey val="0"/>
          <c:showVal val="0"/>
          <c:showCatName val="0"/>
          <c:showSerName val="0"/>
          <c:showPercent val="0"/>
          <c:showBubbleSize val="0"/>
        </c:dLbls>
        <c:gapWidth val="124"/>
        <c:overlap val="-27"/>
        <c:axId val="470345968"/>
        <c:axId val="470353040"/>
      </c:barChart>
      <c:catAx>
        <c:axId val="47034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70353040"/>
        <c:crosses val="autoZero"/>
        <c:auto val="1"/>
        <c:lblAlgn val="ctr"/>
        <c:lblOffset val="100"/>
        <c:noMultiLvlLbl val="0"/>
      </c:catAx>
      <c:valAx>
        <c:axId val="470353040"/>
        <c:scaling>
          <c:orientation val="minMax"/>
        </c:scaling>
        <c:delete val="1"/>
        <c:axPos val="l"/>
        <c:numFmt formatCode="#,##0" sourceLinked="1"/>
        <c:majorTickMark val="none"/>
        <c:minorTickMark val="none"/>
        <c:tickLblPos val="nextTo"/>
        <c:crossAx val="470345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solidFill>
                  <a:sysClr val="windowText" lastClr="000000"/>
                </a:solidFill>
              </a:rPr>
              <a:t>Afiliación al SRL por Grupo de Edad y Género</a:t>
            </a:r>
          </a:p>
        </c:rich>
      </c:tx>
      <c:layout>
        <c:manualLayout>
          <c:xMode val="edge"/>
          <c:yMode val="edge"/>
          <c:x val="0.20458197906608824"/>
          <c:y val="1.3551827760660353E-2"/>
        </c:manualLayout>
      </c:layout>
      <c:overlay val="0"/>
      <c:spPr>
        <a:noFill/>
        <a:ln>
          <a:noFill/>
        </a:ln>
        <a:effectLst/>
      </c:spPr>
      <c:txPr>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9173714396811525E-2"/>
          <c:y val="0.13694770752263855"/>
          <c:w val="0.88343999929301764"/>
          <c:h val="0.84356602176468076"/>
        </c:manualLayout>
      </c:layout>
      <c:barChart>
        <c:barDir val="bar"/>
        <c:grouping val="stacked"/>
        <c:varyColors val="0"/>
        <c:ser>
          <c:idx val="1"/>
          <c:order val="0"/>
          <c:tx>
            <c:strRef>
              <c:f>'III.6.4.Afil. SRL x sexoy edad'!$D$32</c:f>
              <c:strCache>
                <c:ptCount val="1"/>
                <c:pt idx="0">
                  <c:v> Mujeres </c:v>
                </c:pt>
              </c:strCache>
            </c:strRef>
          </c:tx>
          <c:spPr>
            <a:solidFill>
              <a:srgbClr val="00A94F"/>
            </a:solidFill>
            <a:ln>
              <a:noFill/>
            </a:ln>
            <a:effectLst/>
          </c:spPr>
          <c:invertIfNegative val="0"/>
          <c:dLbls>
            <c:dLbl>
              <c:idx val="0"/>
              <c:layout>
                <c:manualLayout>
                  <c:x val="-5.8019212244934032E-2"/>
                  <c:y val="2.72486715727291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57-4E45-995D-9C9858A1CD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57-4E45-995D-9C9858A1CD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57-4E45-995D-9C9858A1CD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57-4E45-995D-9C9858A1CD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457-4E45-995D-9C9858A1CD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57-4E45-995D-9C9858A1CD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457-4E45-995D-9C9858A1CD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457-4E45-995D-9C9858A1CD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457-4E45-995D-9C9858A1CDFF}"/>
                </c:ext>
              </c:extLst>
            </c:dLbl>
            <c:dLbl>
              <c:idx val="9"/>
              <c:layout>
                <c:manualLayout>
                  <c:x val="-8.3702731602994032E-2"/>
                  <c:y val="9.8447367103635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457-4E45-995D-9C9858A1CDFF}"/>
                </c:ext>
              </c:extLst>
            </c:dLbl>
            <c:dLbl>
              <c:idx val="10"/>
              <c:layout>
                <c:manualLayout>
                  <c:x val="-7.0365642426009956E-2"/>
                  <c:y val="5.568309410914916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457-4E45-995D-9C9858A1CDFF}"/>
                </c:ext>
              </c:extLst>
            </c:dLbl>
            <c:dLbl>
              <c:idx val="11"/>
              <c:layout>
                <c:manualLayout>
                  <c:x val="-5.9523007856341272E-2"/>
                  <c:y val="2.2270376965822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457-4E45-995D-9C9858A1CDFF}"/>
                </c:ext>
              </c:extLst>
            </c:dLbl>
            <c:dLbl>
              <c:idx val="12"/>
              <c:layout>
                <c:manualLayout>
                  <c:x val="-4.6930724568519842E-2"/>
                  <c:y val="-3.28141203058067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457-4E45-995D-9C9858A1CDFF}"/>
                </c:ext>
              </c:extLst>
            </c:dLbl>
            <c:dLbl>
              <c:idx val="13"/>
              <c:layout>
                <c:manualLayout>
                  <c:x val="-3.5303825658156367E-2"/>
                  <c:y val="1.11351884829110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457-4E45-995D-9C9858A1CDFF}"/>
                </c:ext>
              </c:extLst>
            </c:dLbl>
            <c:dLbl>
              <c:idx val="14"/>
              <c:layout>
                <c:manualLayout>
                  <c:x val="-4.8849695555732299E-2"/>
                  <c:y val="-3.7792414912713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457-4E45-995D-9C9858A1CDFF}"/>
                </c:ext>
              </c:extLst>
            </c:dLbl>
            <c:numFmt formatCode="#,##0.;[Black]#,##0" sourceLinked="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-18440</c:v>
                </c:pt>
                <c:pt idx="1">
                  <c:v>-138670</c:v>
                </c:pt>
                <c:pt idx="2">
                  <c:v>-184317</c:v>
                </c:pt>
                <c:pt idx="3">
                  <c:v>-193641</c:v>
                </c:pt>
                <c:pt idx="4">
                  <c:v>-163757</c:v>
                </c:pt>
                <c:pt idx="5">
                  <c:v>-139015</c:v>
                </c:pt>
                <c:pt idx="6">
                  <c:v>-114413</c:v>
                </c:pt>
                <c:pt idx="7">
                  <c:v>-88065</c:v>
                </c:pt>
                <c:pt idx="8">
                  <c:v>-67948</c:v>
                </c:pt>
                <c:pt idx="9">
                  <c:v>-43495</c:v>
                </c:pt>
                <c:pt idx="10">
                  <c:v>-23305</c:v>
                </c:pt>
                <c:pt idx="11">
                  <c:v>-12406</c:v>
                </c:pt>
                <c:pt idx="12">
                  <c:v>-6401</c:v>
                </c:pt>
                <c:pt idx="13">
                  <c:v>-2839</c:v>
                </c:pt>
                <c:pt idx="14">
                  <c:v>-2061</c:v>
                </c:pt>
              </c:numCache>
            </c:numRef>
          </c:val>
          <c:extLst>
            <c:ext xmlns:c16="http://schemas.microsoft.com/office/drawing/2014/chart" uri="{C3380CC4-5D6E-409C-BE32-E72D297353CC}">
              <c16:uniqueId val="{0000001F-B457-4E45-995D-9C9858A1CDFF}"/>
            </c:ext>
          </c:extLst>
        </c:ser>
        <c:ser>
          <c:idx val="0"/>
          <c:order val="1"/>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57-4E45-995D-9C9858A1CD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57-4E45-995D-9C9858A1CDFF}"/>
                </c:ext>
              </c:extLst>
            </c:dLbl>
            <c:dLbl>
              <c:idx val="2"/>
              <c:layout>
                <c:manualLayout>
                  <c:x val="0.1968484027378169"/>
                  <c:y val="1.15518270496561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57-4E45-995D-9C9858A1CDFF}"/>
                </c:ext>
              </c:extLst>
            </c:dLbl>
            <c:dLbl>
              <c:idx val="3"/>
              <c:layout>
                <c:manualLayout>
                  <c:x val="0.19837246061171124"/>
                  <c:y val="1.15518270496561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57-4E45-995D-9C9858A1CD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57-4E45-995D-9C9858A1CD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57-4E45-995D-9C9858A1CD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57-4E45-995D-9C9858A1CD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57-4E45-995D-9C9858A1CD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57-4E45-995D-9C9858A1CD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57-4E45-995D-9C9858A1CD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57-4E45-995D-9C9858A1CD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57-4E45-995D-9C9858A1CD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57-4E45-995D-9C9858A1CD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57-4E45-995D-9C9858A1CD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57-4E45-995D-9C9858A1CDFF}"/>
                </c:ext>
              </c:extLst>
            </c:dLbl>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26970</c:v>
                </c:pt>
                <c:pt idx="1">
                  <c:v>161086</c:v>
                </c:pt>
                <c:pt idx="2">
                  <c:v>194282</c:v>
                </c:pt>
                <c:pt idx="3">
                  <c:v>201158</c:v>
                </c:pt>
                <c:pt idx="4">
                  <c:v>172301</c:v>
                </c:pt>
                <c:pt idx="5">
                  <c:v>149069</c:v>
                </c:pt>
                <c:pt idx="6">
                  <c:v>131248</c:v>
                </c:pt>
                <c:pt idx="7">
                  <c:v>106962</c:v>
                </c:pt>
                <c:pt idx="8">
                  <c:v>85540</c:v>
                </c:pt>
                <c:pt idx="9">
                  <c:v>57750</c:v>
                </c:pt>
                <c:pt idx="10">
                  <c:v>34674</c:v>
                </c:pt>
                <c:pt idx="11">
                  <c:v>19416</c:v>
                </c:pt>
                <c:pt idx="12">
                  <c:v>9318</c:v>
                </c:pt>
                <c:pt idx="13">
                  <c:v>3863</c:v>
                </c:pt>
                <c:pt idx="14">
                  <c:v>2542</c:v>
                </c:pt>
              </c:numCache>
            </c:numRef>
          </c:val>
          <c:extLst>
            <c:ext xmlns:c16="http://schemas.microsoft.com/office/drawing/2014/chart" uri="{C3380CC4-5D6E-409C-BE32-E72D297353CC}">
              <c16:uniqueId val="{0000000F-B457-4E45-995D-9C9858A1CD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Red]#,##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019415502355136"/>
          <c:y val="8.1598438938588175E-2"/>
          <c:w val="0.37275849747037931"/>
          <c:h val="5.4570872714366475E-2"/>
        </c:manualLayout>
      </c:layout>
      <c:overlay val="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3.1168291672980998E-2"/>
          <c:y val="4.9060846560846569E-2"/>
          <c:w val="0.9552781311431322"/>
          <c:h val="0.88999552139315918"/>
        </c:manualLayout>
      </c:layout>
      <c:barChart>
        <c:barDir val="col"/>
        <c:grouping val="clustered"/>
        <c:varyColors val="0"/>
        <c:ser>
          <c:idx val="0"/>
          <c:order val="0"/>
          <c:tx>
            <c:strRef>
              <c:f>'INFOGRAFIA V2'!$R$58</c:f>
              <c:strCache>
                <c:ptCount val="1"/>
                <c:pt idx="0">
                  <c:v>Cumplido</c:v>
                </c:pt>
              </c:strCache>
            </c:strRef>
          </c:tx>
          <c:spPr>
            <a:solidFill>
              <a:schemeClr val="accent1"/>
            </a:solidFill>
            <a:ln>
              <a:noFill/>
            </a:ln>
            <a:effectLst/>
          </c:spPr>
          <c:invertIfNegative val="0"/>
          <c:cat>
            <c:strRef>
              <c:f>'INFOGRAFIA V2'!$S$57:$T$57</c:f>
              <c:strCache>
                <c:ptCount val="2"/>
                <c:pt idx="0">
                  <c:v>Hombre</c:v>
                </c:pt>
                <c:pt idx="1">
                  <c:v>Mujeres</c:v>
                </c:pt>
              </c:strCache>
            </c:strRef>
          </c:cat>
          <c:val>
            <c:numRef>
              <c:f>'INFOGRAFIA V2'!$S$58:$T$58</c:f>
              <c:numCache>
                <c:formatCode>0.0%</c:formatCode>
                <c:ptCount val="2"/>
                <c:pt idx="0">
                  <c:v>0.49743056936772234</c:v>
                </c:pt>
                <c:pt idx="1">
                  <c:v>0.50256943063227766</c:v>
                </c:pt>
              </c:numCache>
            </c:numRef>
          </c:val>
          <c:extLst>
            <c:ext xmlns:c16="http://schemas.microsoft.com/office/drawing/2014/chart" uri="{C3380CC4-5D6E-409C-BE32-E72D297353CC}">
              <c16:uniqueId val="{00000000-6CA9-4F4A-884E-E420544CFA52}"/>
            </c:ext>
          </c:extLst>
        </c:ser>
        <c:ser>
          <c:idx val="1"/>
          <c:order val="1"/>
          <c:tx>
            <c:strRef>
              <c:f>'INFOGRAFIA V2'!$R$59</c:f>
              <c:strCache>
                <c:ptCount val="1"/>
                <c:pt idx="0">
                  <c:v>Meta</c:v>
                </c:pt>
              </c:strCache>
            </c:strRef>
          </c:tx>
          <c:spPr>
            <a:solidFill>
              <a:schemeClr val="accent2"/>
            </a:solidFill>
            <a:ln>
              <a:noFill/>
            </a:ln>
            <a:effectLst/>
          </c:spPr>
          <c:invertIfNegative val="0"/>
          <c:cat>
            <c:strRef>
              <c:f>'INFOGRAFIA V2'!$S$57:$T$57</c:f>
              <c:strCache>
                <c:ptCount val="2"/>
                <c:pt idx="0">
                  <c:v>Hombre</c:v>
                </c:pt>
                <c:pt idx="1">
                  <c:v>Mujeres</c:v>
                </c:pt>
              </c:strCache>
            </c:strRef>
          </c:cat>
          <c:val>
            <c:numRef>
              <c:f>'INFOGRAFIA V2'!$S$59:$T$59</c:f>
              <c:numCache>
                <c:formatCode>0.0%</c:formatCode>
                <c:ptCount val="2"/>
                <c:pt idx="0">
                  <c:v>1</c:v>
                </c:pt>
                <c:pt idx="1">
                  <c:v>1</c:v>
                </c:pt>
              </c:numCache>
            </c:numRef>
          </c:val>
          <c:extLst>
            <c:ext xmlns:c16="http://schemas.microsoft.com/office/drawing/2014/chart" uri="{C3380CC4-5D6E-409C-BE32-E72D297353CC}">
              <c16:uniqueId val="{00000001-6CA9-4F4A-884E-E420544CFA52}"/>
            </c:ext>
          </c:extLst>
        </c:ser>
        <c:dLbls>
          <c:showLegendKey val="0"/>
          <c:showVal val="0"/>
          <c:showCatName val="0"/>
          <c:showSerName val="0"/>
          <c:showPercent val="0"/>
          <c:showBubbleSize val="0"/>
        </c:dLbls>
        <c:gapWidth val="219"/>
        <c:overlap val="-27"/>
        <c:axId val="605959200"/>
        <c:axId val="605950880"/>
      </c:barChart>
      <c:catAx>
        <c:axId val="6059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0880"/>
        <c:crosses val="autoZero"/>
        <c:auto val="1"/>
        <c:lblAlgn val="ctr"/>
        <c:lblOffset val="100"/>
        <c:noMultiLvlLbl val="0"/>
      </c:catAx>
      <c:valAx>
        <c:axId val="60595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Índice de Dependencia por Régimen de Financiamiento al SFS</a:t>
            </a:r>
          </a:p>
        </c:rich>
      </c:tx>
      <c:layout>
        <c:manualLayout>
          <c:xMode val="edge"/>
          <c:yMode val="edge"/>
          <c:x val="0.17492492086557851"/>
          <c:y val="2.5215486540018928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0537771563601277E-2"/>
          <c:y val="0.34655371048915912"/>
          <c:w val="0.9269444648858145"/>
          <c:h val="0.3165317949117745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48"/>
            <c:spPr>
              <a:solidFill>
                <a:srgbClr val="00539B"/>
              </a:solidFill>
              <a:ln w="9525">
                <a:solidFill>
                  <a:schemeClr val="accent1">
                    <a:lumMod val="60000"/>
                  </a:schemeClr>
                </a:solidFill>
              </a:ln>
              <a:effectLst/>
            </c:spPr>
          </c:marker>
          <c:dLbls>
            <c:dLbl>
              <c:idx val="0"/>
              <c:layout>
                <c:manualLayout>
                  <c:x val="-4.4351425411446217E-2"/>
                  <c:y val="-7.4581522745341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F3-41B9-BA94-28294E346338}"/>
                </c:ext>
              </c:extLst>
            </c:dLbl>
            <c:dLbl>
              <c:idx val="1"/>
              <c:layout>
                <c:manualLayout>
                  <c:x val="-2.7724087555093348E-2"/>
                  <c:y val="-7.8260637544788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F3-41B9-BA94-28294E346338}"/>
                </c:ext>
              </c:extLst>
            </c:dLbl>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D-4383-A96A-9882DAA14D32}"/>
                </c:ext>
              </c:extLst>
            </c:dLbl>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'III.3.2. Afil anual SFS RS '!$H$5:$H$22</c15:sqref>
                  </c15:fullRef>
                </c:ext>
              </c:extLst>
              <c:f>'III.3.2. Afil anual SFS RS '!$H$12:$H$22</c:f>
              <c:numCache>
                <c:formatCode>_(* #,##0.00_);_(* \(#,##0.00\);_(* "-"??_);_(@_)</c:formatCode>
                <c:ptCount val="11"/>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0.18204006837978673</c:v>
                </c:pt>
                <c:pt idx="10">
                  <c:v>0.18130644780707048</c:v>
                </c:pt>
              </c:numCache>
            </c:numRef>
          </c:val>
          <c:smooth val="0"/>
          <c:extLst>
            <c:ext xmlns:c16="http://schemas.microsoft.com/office/drawing/2014/chart" uri="{C3380CC4-5D6E-409C-BE32-E72D297353CC}">
              <c16:uniqueId val="{00000001-68DD-4383-A96A-9882DAA14D32}"/>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48"/>
            <c:spPr>
              <a:solidFill>
                <a:srgbClr val="00A94F"/>
              </a:solidFill>
              <a:ln w="9525">
                <a:solidFill>
                  <a:schemeClr val="bg1"/>
                </a:solidFill>
              </a:ln>
              <a:effectLst/>
            </c:spPr>
          </c:marker>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'III.2.2. Afil. SFS RC Anual '!$I$5:$I$22</c15:sqref>
                  </c15:fullRef>
                </c:ext>
              </c:extLst>
              <c:f>'III.2.2. Afil. SFS RC Anual '!$I$12:$I$22</c:f>
              <c:numCache>
                <c:formatCode>_(* #,##0.00_);_(* \(#,##0.00\);_(* "-"??_);_(@_)</c:formatCode>
                <c:ptCount val="11"/>
                <c:pt idx="0">
                  <c:v>1.2065030251698892</c:v>
                </c:pt>
                <c:pt idx="1">
                  <c:v>1.2172961158754561</c:v>
                </c:pt>
                <c:pt idx="2">
                  <c:v>1.2097518964348666</c:v>
                </c:pt>
                <c:pt idx="3">
                  <c:v>1.2340962665090496</c:v>
                </c:pt>
                <c:pt idx="4">
                  <c:v>1.2357235834083216</c:v>
                </c:pt>
                <c:pt idx="5">
                  <c:v>1.2808027744723864</c:v>
                </c:pt>
                <c:pt idx="6">
                  <c:v>1.2223934183251974</c:v>
                </c:pt>
                <c:pt idx="7">
                  <c:v>1.1957499938725402</c:v>
                </c:pt>
                <c:pt idx="8">
                  <c:v>1.1818512902381599</c:v>
                </c:pt>
                <c:pt idx="9">
                  <c:v>1.1804657732046777</c:v>
                </c:pt>
                <c:pt idx="10">
                  <c:v>1.1671330719517214</c:v>
                </c:pt>
              </c:numCache>
            </c:numRef>
          </c:val>
          <c:smooth val="0"/>
          <c:extLst>
            <c:ext xmlns:c16="http://schemas.microsoft.com/office/drawing/2014/chart" uri="{C3380CC4-5D6E-409C-BE32-E72D297353CC}">
              <c16:uniqueId val="{00000002-68DD-4383-A96A-9882DAA14D32}"/>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1"/>
        <c:axPos val="r"/>
        <c:numFmt formatCode="_(* #,##0.00_);_(* \(#,##0.00\);_(* &quot;-&quot;??_);_(@_)" sourceLinked="1"/>
        <c:majorTickMark val="out"/>
        <c:minorTickMark val="none"/>
        <c:tickLblPos val="nextTo"/>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1.7435969062625487E-2"/>
          <c:y val="0.15238745892057609"/>
          <c:w val="0.93608689929408173"/>
          <c:h val="6.0763848442338328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Población Afiliada del SFS por Tipo de Afiliación</a:t>
            </a:r>
          </a:p>
        </c:rich>
      </c:tx>
      <c:layout>
        <c:manualLayout>
          <c:xMode val="edge"/>
          <c:yMode val="edge"/>
          <c:x val="0.15519950975291083"/>
          <c:y val="3.6112412372504073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721163290106708"/>
          <c:y val="0.18860477036330053"/>
          <c:w val="0.78973175628687431"/>
          <c:h val="0.6829421953568936"/>
        </c:manualLayout>
      </c:layout>
      <c:barChart>
        <c:barDir val="bar"/>
        <c:grouping val="clustered"/>
        <c:varyColors val="0"/>
        <c:ser>
          <c:idx val="0"/>
          <c:order val="0"/>
          <c:tx>
            <c:strRef>
              <c:f>'III.2.2. Afil. SFS RC Anual '!$M$12</c:f>
              <c:strCache>
                <c:ptCount val="1"/>
                <c:pt idx="0">
                  <c:v> Titulares </c:v>
                </c:pt>
              </c:strCache>
            </c:strRef>
          </c:tx>
          <c:spPr>
            <a:solidFill>
              <a:srgbClr val="00539B"/>
            </a:solidFill>
            <a:ln>
              <a:noFill/>
            </a:ln>
            <a:effectLst/>
          </c:spPr>
          <c:invertIfNegative val="0"/>
          <c:dPt>
            <c:idx val="0"/>
            <c:invertIfNegative val="0"/>
            <c:bubble3D val="0"/>
            <c:spPr>
              <a:solidFill>
                <a:srgbClr val="00539B"/>
              </a:solidFill>
              <a:ln>
                <a:noFill/>
              </a:ln>
              <a:effectLst/>
            </c:spPr>
            <c:extLst>
              <c:ext xmlns:c16="http://schemas.microsoft.com/office/drawing/2014/chart" uri="{C3380CC4-5D6E-409C-BE32-E72D297353CC}">
                <c16:uniqueId val="{00000001-D916-4845-A1BE-9AAD84085BFD}"/>
              </c:ext>
            </c:extLst>
          </c:dPt>
          <c:dLbls>
            <c:dLbl>
              <c:idx val="0"/>
              <c:layout>
                <c:manualLayout>
                  <c:x val="1.1487843769006953E-2"/>
                  <c:y val="-1.3718927026013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16-4845-A1BE-9AAD84085BFD}"/>
                </c:ext>
              </c:extLst>
            </c:dLbl>
            <c:dLbl>
              <c:idx val="1"/>
              <c:layout>
                <c:manualLayout>
                  <c:x val="4.4479975079917451E-6"/>
                  <c:y val="-1.3575239699703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16-4845-A1BE-9AAD84085BFD}"/>
                </c:ext>
              </c:extLst>
            </c:dLbl>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'!$N$11:$O$11</c:f>
              <c:strCache>
                <c:ptCount val="2"/>
                <c:pt idx="0">
                  <c:v> Regimen Cotributivo </c:v>
                </c:pt>
                <c:pt idx="1">
                  <c:v> Regimen Subsidiado </c:v>
                </c:pt>
              </c:strCache>
            </c:strRef>
          </c:cat>
          <c:val>
            <c:numRef>
              <c:f>'III.2.2. Afil. SFS RC Anual '!$N$12:$O$12</c:f>
              <c:numCache>
                <c:formatCode>_(* #,##0_);_(* \(#,##0\);_(* "-"_);_(@_)</c:formatCode>
                <c:ptCount val="2"/>
                <c:pt idx="0">
                  <c:v>2191942</c:v>
                </c:pt>
                <c:pt idx="1">
                  <c:v>4822818</c:v>
                </c:pt>
              </c:numCache>
            </c:numRef>
          </c:val>
          <c:extLst>
            <c:ext xmlns:c16="http://schemas.microsoft.com/office/drawing/2014/chart" uri="{C3380CC4-5D6E-409C-BE32-E72D297353CC}">
              <c16:uniqueId val="{00000003-D916-4845-A1BE-9AAD84085BFD}"/>
            </c:ext>
          </c:extLst>
        </c:ser>
        <c:ser>
          <c:idx val="1"/>
          <c:order val="1"/>
          <c:tx>
            <c:strRef>
              <c:f>'III.2.2. Afil. SFS RC Anual '!$M$13</c:f>
              <c:strCache>
                <c:ptCount val="1"/>
                <c:pt idx="0">
                  <c:v> Dependientes Directos  </c:v>
                </c:pt>
              </c:strCache>
            </c:strRef>
          </c:tx>
          <c:spPr>
            <a:solidFill>
              <a:srgbClr val="00A94F"/>
            </a:solidFill>
            <a:ln>
              <a:noFill/>
            </a:ln>
            <a:effectLst/>
          </c:spPr>
          <c:invertIfNegative val="0"/>
          <c:dPt>
            <c:idx val="1"/>
            <c:invertIfNegative val="0"/>
            <c:bubble3D val="0"/>
            <c:spPr>
              <a:solidFill>
                <a:srgbClr val="00A94F"/>
              </a:solidFill>
              <a:ln>
                <a:noFill/>
              </a:ln>
              <a:effectLst/>
            </c:spPr>
            <c:extLst>
              <c:ext xmlns:c16="http://schemas.microsoft.com/office/drawing/2014/chart" uri="{C3380CC4-5D6E-409C-BE32-E72D297353CC}">
                <c16:uniqueId val="{00000005-D916-4845-A1BE-9AAD84085BFD}"/>
              </c:ext>
            </c:extLst>
          </c:dPt>
          <c:dLbls>
            <c:dLbl>
              <c:idx val="0"/>
              <c:layout>
                <c:manualLayout>
                  <c:x val="5.1097814234598547E-3"/>
                  <c:y val="-2.3002867884757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16-4845-A1BE-9AAD84085BFD}"/>
                </c:ext>
              </c:extLst>
            </c:dLbl>
            <c:dLbl>
              <c:idx val="1"/>
              <c:layout>
                <c:manualLayout>
                  <c:x val="1.4748822632617236E-2"/>
                  <c:y val="-2.2207714542011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16-4845-A1BE-9AAD84085BFD}"/>
                </c:ext>
              </c:extLst>
            </c:dLbl>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'!$N$11:$O$11</c:f>
              <c:strCache>
                <c:ptCount val="2"/>
                <c:pt idx="0">
                  <c:v> Regimen Cotributivo </c:v>
                </c:pt>
                <c:pt idx="1">
                  <c:v> Regimen Subsidiado </c:v>
                </c:pt>
              </c:strCache>
            </c:strRef>
          </c:cat>
          <c:val>
            <c:numRef>
              <c:f>'III.2.2. Afil. SFS RC Anual '!$N$13:$O$13</c:f>
              <c:numCache>
                <c:formatCode>_(* #,##0_);_(* \(#,##0\);_(* "-"_);_(@_)</c:formatCode>
                <c:ptCount val="2"/>
                <c:pt idx="0">
                  <c:v>2292413</c:v>
                </c:pt>
                <c:pt idx="1">
                  <c:v>874408</c:v>
                </c:pt>
              </c:numCache>
            </c:numRef>
          </c:val>
          <c:extLst>
            <c:ext xmlns:c16="http://schemas.microsoft.com/office/drawing/2014/chart" uri="{C3380CC4-5D6E-409C-BE32-E72D297353CC}">
              <c16:uniqueId val="{00000007-D916-4845-A1BE-9AAD84085BFD}"/>
            </c:ext>
          </c:extLst>
        </c:ser>
        <c:ser>
          <c:idx val="2"/>
          <c:order val="2"/>
          <c:tx>
            <c:strRef>
              <c:f>'III.2.2. Afil. SFS RC Anual '!$M$14</c:f>
              <c:strCache>
                <c:ptCount val="1"/>
                <c:pt idx="0">
                  <c:v> Dependientes Adicionales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'!$N$11:$O$11</c:f>
              <c:strCache>
                <c:ptCount val="2"/>
                <c:pt idx="0">
                  <c:v> Regimen Cotributivo </c:v>
                </c:pt>
                <c:pt idx="1">
                  <c:v> Regimen Subsidiado </c:v>
                </c:pt>
              </c:strCache>
            </c:strRef>
          </c:cat>
          <c:val>
            <c:numRef>
              <c:f>'III.2.2. Afil. SFS RC Anual '!$N$14:$O$14</c:f>
              <c:numCache>
                <c:formatCode>_(* #,##0_);_(* \(#,##0\);_(* "-"_);_(@_)</c:formatCode>
                <c:ptCount val="2"/>
                <c:pt idx="0">
                  <c:v>265875</c:v>
                </c:pt>
              </c:numCache>
            </c:numRef>
          </c:val>
          <c:extLst>
            <c:ext xmlns:c16="http://schemas.microsoft.com/office/drawing/2014/chart" uri="{C3380CC4-5D6E-409C-BE32-E72D297353CC}">
              <c16:uniqueId val="{00000008-D916-4845-A1BE-9AAD84085BFD}"/>
            </c:ext>
          </c:extLst>
        </c:ser>
        <c:dLbls>
          <c:showLegendKey val="0"/>
          <c:showVal val="0"/>
          <c:showCatName val="0"/>
          <c:showSerName val="0"/>
          <c:showPercent val="0"/>
          <c:showBubbleSize val="0"/>
        </c:dLbls>
        <c:gapWidth val="59"/>
        <c:axId val="832307791"/>
        <c:axId val="832327759"/>
        <c:extLst>
          <c:ext xmlns:c15="http://schemas.microsoft.com/office/drawing/2012/chart" uri="{02D57815-91ED-43cb-92C2-25804820EDAC}">
            <c15:filteredBarSeries>
              <c15:ser>
                <c:idx val="3"/>
                <c:order val="3"/>
                <c:tx>
                  <c:v>Pensionados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
                    <c:pt idx="0">
                      <c:v>111952</c:v>
                    </c:pt>
                  </c:numLit>
                </c:val>
                <c:extLst>
                  <c:ext xmlns:c16="http://schemas.microsoft.com/office/drawing/2014/chart" uri="{C3380CC4-5D6E-409C-BE32-E72D297353CC}">
                    <c16:uniqueId val="{00000009-D916-4845-A1BE-9AAD84085BFD}"/>
                  </c:ext>
                </c:extLst>
              </c15:ser>
            </c15:filteredBarSeries>
          </c:ext>
        </c:extLst>
      </c:barChart>
      <c:catAx>
        <c:axId val="8323077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32327759"/>
        <c:crosses val="autoZero"/>
        <c:auto val="1"/>
        <c:lblAlgn val="ctr"/>
        <c:lblOffset val="100"/>
        <c:noMultiLvlLbl val="0"/>
      </c:catAx>
      <c:valAx>
        <c:axId val="832327759"/>
        <c:scaling>
          <c:orientation val="minMax"/>
        </c:scaling>
        <c:delete val="1"/>
        <c:axPos val="b"/>
        <c:numFmt formatCode="_(* #,##0_);_(* \(#,##0\);_(* &quot;-&quot;_);_(@_)"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7.4739280740013209E-2"/>
          <c:y val="0.11275656167979002"/>
          <c:w val="0.85268232591433457"/>
          <c:h val="5.7319200484554814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solidFill>
        <a:schemeClr val="bg1"/>
      </a:solid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s-DO" sz="4000" cap="none" baseline="0"/>
              <a:t>Total de Empresas Registradas al SDSS  por Tipos</a:t>
            </a:r>
          </a:p>
        </c:rich>
      </c:tx>
      <c:layout>
        <c:manualLayout>
          <c:xMode val="edge"/>
          <c:yMode val="edge"/>
          <c:x val="0.1846961550515141"/>
          <c:y val="3.8839240623377361E-2"/>
        </c:manualLayout>
      </c:layout>
      <c:overlay val="0"/>
      <c:spPr>
        <a:noFill/>
        <a:ln>
          <a:noFill/>
        </a:ln>
        <a:effectLst/>
      </c:spPr>
      <c:txPr>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080431189295531E-2"/>
          <c:y val="0.18008815777008766"/>
          <c:w val="0.92769744276757093"/>
          <c:h val="0.63397462259892667"/>
        </c:manualLayout>
      </c:layout>
      <c:barChart>
        <c:barDir val="col"/>
        <c:grouping val="clustered"/>
        <c:varyColors val="0"/>
        <c:ser>
          <c:idx val="0"/>
          <c:order val="0"/>
          <c:spPr>
            <a:solidFill>
              <a:srgbClr val="00A94F"/>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165D-4182-83FA-368176048665}"/>
              </c:ext>
            </c:extLst>
          </c:dPt>
          <c:dPt>
            <c:idx val="1"/>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165D-4182-83FA-368176048665}"/>
              </c:ext>
            </c:extLst>
          </c:dPt>
          <c:dPt>
            <c:idx val="2"/>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165D-4182-83FA-368176048665}"/>
              </c:ext>
            </c:extLst>
          </c:dPt>
          <c:dLbls>
            <c:spPr>
              <a:noFill/>
              <a:ln>
                <a:noFill/>
              </a:ln>
              <a:effectLst/>
            </c:spPr>
            <c:txPr>
              <a:bodyPr rot="0" spcFirstLastPara="1" vertOverflow="ellipsis" vert="horz" wrap="square" lIns="38100" tIns="19050" rIns="38100" bIns="19050" anchor="ctr" anchorCtr="1">
                <a:spAutoFit/>
              </a:bodyPr>
              <a:lstStyle/>
              <a:p>
                <a:pPr>
                  <a:defRPr sz="35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 Empresas Privadas </c:v>
                </c:pt>
                <c:pt idx="1">
                  <c:v>  Empresas Públicas  </c:v>
                </c:pt>
                <c:pt idx="2">
                  <c:v> Empresas Públicas Centralizadas </c:v>
                </c:pt>
              </c:strCache>
            </c:strRef>
          </c:cat>
          <c:val>
            <c:numRef>
              <c:f>'II.3. Empl x sector '!$B$22:$D$22</c:f>
              <c:numCache>
                <c:formatCode>_(* #,##0_);_(* \(#,##0\);_(* "-"??_);_(@_)</c:formatCode>
                <c:ptCount val="3"/>
                <c:pt idx="0">
                  <c:v>111636</c:v>
                </c:pt>
                <c:pt idx="1">
                  <c:v>580</c:v>
                </c:pt>
                <c:pt idx="2">
                  <c:v>68</c:v>
                </c:pt>
              </c:numCache>
            </c:numRef>
          </c:val>
          <c:extLst>
            <c:ext xmlns:c16="http://schemas.microsoft.com/office/drawing/2014/chart" uri="{C3380CC4-5D6E-409C-BE32-E72D297353CC}">
              <c16:uniqueId val="{00000006-165D-4182-83FA-368176048665}"/>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Dispersión a las Administradora de Riesgos de Salud (ARS) </a:t>
            </a:r>
          </a:p>
        </c:rich>
      </c:tx>
      <c:layout>
        <c:manualLayout>
          <c:xMode val="edge"/>
          <c:yMode val="edge"/>
          <c:x val="0.26725731741802378"/>
          <c:y val="3.0042918454935622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634425873146224"/>
          <c:y val="0.10761905619921079"/>
          <c:w val="0.85919734151329241"/>
          <c:h val="0.33381712583409906"/>
        </c:manualLayout>
      </c:layout>
      <c:lineChart>
        <c:grouping val="standard"/>
        <c:varyColors val="0"/>
        <c:ser>
          <c:idx val="0"/>
          <c:order val="0"/>
          <c:tx>
            <c:strRef>
              <c:f>'IV.2.4.Pagos x ARS'!$C$4</c:f>
              <c:strCache>
                <c:ptCount val="1"/>
                <c:pt idx="0">
                  <c:v>Total General
2022- Mar.25</c:v>
                </c:pt>
              </c:strCache>
            </c:strRef>
          </c:tx>
          <c:spPr>
            <a:ln w="66675" cap="rnd" cmpd="sng" algn="ctr">
              <a:solidFill>
                <a:schemeClr val="accent1">
                  <a:shade val="95000"/>
                  <a:satMod val="105000"/>
                </a:schemeClr>
              </a:solidFill>
              <a:prstDash val="solid"/>
              <a:round/>
            </a:ln>
            <a:effectLst/>
          </c:spPr>
          <c:marker>
            <c:symbol val="circle"/>
            <c:size val="2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1-1BF3-4C51-B702-2405F1EC1A1B}"/>
              </c:ext>
            </c:extLst>
          </c:dPt>
          <c:dPt>
            <c:idx val="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BF3-4C51-B702-2405F1EC1A1B}"/>
              </c:ext>
            </c:extLst>
          </c:dPt>
          <c:dPt>
            <c:idx val="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5-1BF3-4C51-B702-2405F1EC1A1B}"/>
              </c:ext>
            </c:extLst>
          </c:dPt>
          <c:dPt>
            <c:idx val="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7-1BF3-4C51-B702-2405F1EC1A1B}"/>
              </c:ext>
            </c:extLst>
          </c:dPt>
          <c:dPt>
            <c:idx val="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9-1BF3-4C51-B702-2405F1EC1A1B}"/>
              </c:ext>
            </c:extLst>
          </c:dPt>
          <c:dPt>
            <c:idx val="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B-1BF3-4C51-B702-2405F1EC1A1B}"/>
              </c:ext>
            </c:extLst>
          </c:dPt>
          <c:dPt>
            <c:idx val="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D-1BF3-4C51-B702-2405F1EC1A1B}"/>
              </c:ext>
            </c:extLst>
          </c:dPt>
          <c:dPt>
            <c:idx val="7"/>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F-1BF3-4C51-B702-2405F1EC1A1B}"/>
              </c:ext>
            </c:extLst>
          </c:dPt>
          <c:dPt>
            <c:idx val="8"/>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1-1BF3-4C51-B702-2405F1EC1A1B}"/>
              </c:ext>
            </c:extLst>
          </c:dPt>
          <c:dPt>
            <c:idx val="9"/>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3-1BF3-4C51-B702-2405F1EC1A1B}"/>
              </c:ext>
            </c:extLst>
          </c:dPt>
          <c:dPt>
            <c:idx val="1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5-1BF3-4C51-B702-2405F1EC1A1B}"/>
              </c:ext>
            </c:extLst>
          </c:dPt>
          <c:dPt>
            <c:idx val="1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7-1BF3-4C51-B702-2405F1EC1A1B}"/>
              </c:ext>
            </c:extLst>
          </c:dPt>
          <c:dPt>
            <c:idx val="1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9-1BF3-4C51-B702-2405F1EC1A1B}"/>
              </c:ext>
            </c:extLst>
          </c:dPt>
          <c:dPt>
            <c:idx val="1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B-1BF3-4C51-B702-2405F1EC1A1B}"/>
              </c:ext>
            </c:extLst>
          </c:dPt>
          <c:dPt>
            <c:idx val="1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D-1BF3-4C51-B702-2405F1EC1A1B}"/>
              </c:ext>
            </c:extLst>
          </c:dPt>
          <c:dPt>
            <c:idx val="1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F-1BF3-4C51-B702-2405F1EC1A1B}"/>
              </c:ext>
            </c:extLst>
          </c:dPt>
          <c:dPt>
            <c:idx val="1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21-1BF3-4C51-B702-2405F1EC1A1B}"/>
              </c:ext>
            </c:extLst>
          </c:dPt>
          <c:dLbls>
            <c:dLbl>
              <c:idx val="0"/>
              <c:layout>
                <c:manualLayout>
                  <c:x val="-2.7949649313562662E-2"/>
                  <c:y val="-0.123505976095617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3-4C51-B702-2405F1EC1A1B}"/>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78984301567.919998</c:v>
                </c:pt>
                <c:pt idx="1">
                  <c:v>101027098480.34</c:v>
                </c:pt>
                <c:pt idx="2">
                  <c:v>34074020683.290001</c:v>
                </c:pt>
                <c:pt idx="3">
                  <c:v>18109868672.18</c:v>
                </c:pt>
                <c:pt idx="4">
                  <c:v>9251795854.6900005</c:v>
                </c:pt>
                <c:pt idx="5">
                  <c:v>17167594394.73</c:v>
                </c:pt>
                <c:pt idx="6">
                  <c:v>5382272715.7600002</c:v>
                </c:pt>
                <c:pt idx="7">
                  <c:v>5198594029.3700008</c:v>
                </c:pt>
                <c:pt idx="8">
                  <c:v>6101061518.6900005</c:v>
                </c:pt>
                <c:pt idx="9">
                  <c:v>6518807335.6100006</c:v>
                </c:pt>
                <c:pt idx="10">
                  <c:v>3542691735.5999999</c:v>
                </c:pt>
                <c:pt idx="11">
                  <c:v>1741202877.03</c:v>
                </c:pt>
                <c:pt idx="12">
                  <c:v>1618374163.6300001</c:v>
                </c:pt>
                <c:pt idx="13">
                  <c:v>2575775033.1199999</c:v>
                </c:pt>
                <c:pt idx="14">
                  <c:v>2364364759.3199997</c:v>
                </c:pt>
                <c:pt idx="15">
                  <c:v>2877654915.77</c:v>
                </c:pt>
                <c:pt idx="16">
                  <c:v>485261756.27999997</c:v>
                </c:pt>
              </c:numCache>
            </c:numRef>
          </c:val>
          <c:smooth val="0"/>
          <c:extLst>
            <c:ext xmlns:c16="http://schemas.microsoft.com/office/drawing/2014/chart" uri="{C3380CC4-5D6E-409C-BE32-E72D297353CC}">
              <c16:uniqueId val="{0000003A-1BF3-4C51-B702-2405F1EC1A1B}"/>
            </c:ext>
          </c:extLst>
        </c:ser>
        <c:dLbls>
          <c:showLegendKey val="0"/>
          <c:showVal val="0"/>
          <c:showCatName val="0"/>
          <c:showSerName val="0"/>
          <c:showPercent val="0"/>
          <c:showBubbleSize val="0"/>
        </c:dLbls>
        <c:marker val="1"/>
        <c:smooth val="0"/>
        <c:axId val="432547600"/>
        <c:axId val="432547992"/>
      </c:line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Evolución del Patrimonio de los Fondos de pensiones por año (Millones RD$)</a:t>
            </a:r>
          </a:p>
        </c:rich>
      </c:tx>
      <c:layout>
        <c:manualLayout>
          <c:xMode val="edge"/>
          <c:yMode val="edge"/>
          <c:x val="0.12066666666666667"/>
          <c:y val="3.246753246753247E-3"/>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851355380577428"/>
          <c:y val="0.17310783097450438"/>
          <c:w val="0.68761488147314909"/>
          <c:h val="0.77743271640884115"/>
        </c:manualLayout>
      </c:layout>
      <c:barChart>
        <c:barDir val="bar"/>
        <c:grouping val="clustered"/>
        <c:varyColors val="0"/>
        <c:ser>
          <c:idx val="0"/>
          <c:order val="0"/>
          <c:tx>
            <c:strRef>
              <c:f>'IV.3.5.Patrim. fp anual'!$B$4</c:f>
              <c:strCache>
                <c:ptCount val="1"/>
                <c:pt idx="0">
                  <c:v>Patrimonio Fondos de Pensiones 
(RD$ Millones)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anual'!$A$5:$A$22</c15:sqref>
                  </c15:fullRef>
                </c:ext>
              </c:extLst>
              <c:f>'IV.3.5.Patrim. fp anual'!$A$12:$A$22</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'IV.3.5.Patrim. fp anual'!$B$5:$B$22</c15:sqref>
                  </c15:fullRef>
                </c:ext>
              </c:extLst>
              <c:f>'IV.3.5.Patrim. fp anual'!$B$12:$B$22</c:f>
              <c:numCache>
                <c:formatCode>_(* #,##0.00_);_(* \(#,##0.00\);_(* "-"??_);_(@_)</c:formatCode>
                <c:ptCount val="11"/>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1213344.006122</c:v>
                </c:pt>
                <c:pt idx="9">
                  <c:v>1397051.0850722701</c:v>
                </c:pt>
                <c:pt idx="10">
                  <c:v>1455467.2471073999</c:v>
                </c:pt>
              </c:numCache>
            </c:numRef>
          </c:val>
          <c:extLst>
            <c:ext xmlns:c16="http://schemas.microsoft.com/office/drawing/2014/chart" uri="{C3380CC4-5D6E-409C-BE32-E72D297353CC}">
              <c16:uniqueId val="{00000000-DE31-41C7-884A-1F16C53FC5E3}"/>
            </c:ext>
          </c:extLst>
        </c:ser>
        <c:dLbls>
          <c:showLegendKey val="0"/>
          <c:showVal val="0"/>
          <c:showCatName val="0"/>
          <c:showSerName val="0"/>
          <c:showPercent val="0"/>
          <c:showBubbleSize val="0"/>
        </c:dLbls>
        <c:gapWidth val="60"/>
        <c:axId val="690728480"/>
        <c:axId val="690730560"/>
      </c:barChart>
      <c:catAx>
        <c:axId val="69072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90730560"/>
        <c:crosses val="autoZero"/>
        <c:auto val="1"/>
        <c:lblAlgn val="ctr"/>
        <c:lblOffset val="100"/>
        <c:noMultiLvlLbl val="0"/>
      </c:catAx>
      <c:valAx>
        <c:axId val="690730560"/>
        <c:scaling>
          <c:orientation val="minMax"/>
        </c:scaling>
        <c:delete val="1"/>
        <c:axPos val="b"/>
        <c:numFmt formatCode="_(* #,##0.00_);_(* \(#,##0.00\);_(* &quot;-&quot;??_);_(@_)" sourceLinked="1"/>
        <c:majorTickMark val="none"/>
        <c:minorTickMark val="none"/>
        <c:tickLblPos val="nextTo"/>
        <c:crossAx val="690728480"/>
        <c:crosses val="autoZero"/>
        <c:crossBetween val="between"/>
      </c:valAx>
      <c:spPr>
        <a:noFill/>
        <a:ln>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Total de Afiliados Registrados al Seguro de Riesgos Laborales</a:t>
            </a:r>
          </a:p>
        </c:rich>
      </c:tx>
      <c:layout>
        <c:manualLayout>
          <c:xMode val="edge"/>
          <c:yMode val="edge"/>
          <c:x val="0.20225422408136484"/>
          <c:y val="6.1299424265515198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1924704724409449E-2"/>
          <c:y val="0.39067273307254496"/>
          <c:w val="0.96086502396979556"/>
          <c:h val="0.43733380342382572"/>
        </c:manualLayout>
      </c:layout>
      <c:barChart>
        <c:barDir val="col"/>
        <c:grouping val="stacked"/>
        <c:varyColors val="0"/>
        <c:ser>
          <c:idx val="0"/>
          <c:order val="0"/>
          <c:tx>
            <c:strRef>
              <c:f>'II.3. Empl x sector '!$J$4</c:f>
              <c:strCache>
                <c:ptCount val="1"/>
                <c:pt idx="0">
                  <c:v> Total  Empleados </c:v>
                </c:pt>
              </c:strCache>
            </c:strRef>
          </c:tx>
          <c:spPr>
            <a:solidFill>
              <a:srgbClr val="00539B"/>
            </a:solidFill>
            <a:ln w="82550">
              <a:solidFill>
                <a:srgbClr val="00539B"/>
              </a:solidFill>
            </a:ln>
            <a:effectLst/>
          </c:spPr>
          <c:invertIfNegative val="0"/>
          <c:dLbls>
            <c:dLbl>
              <c:idx val="0"/>
              <c:layout>
                <c:manualLayout>
                  <c:x val="0"/>
                  <c:y val="-0.230769230769230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14-4C04-A081-3EDACC766612}"/>
                </c:ext>
              </c:extLst>
            </c:dLbl>
            <c:dLbl>
              <c:idx val="1"/>
              <c:layout>
                <c:manualLayout>
                  <c:x val="-1.5625000000000192E-3"/>
                  <c:y val="-0.2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14-4C04-A081-3EDACC766612}"/>
                </c:ext>
              </c:extLst>
            </c:dLbl>
            <c:dLbl>
              <c:idx val="2"/>
              <c:layout>
                <c:manualLayout>
                  <c:x val="1.5625000000000001E-3"/>
                  <c:y val="-0.263736263736263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14-4C04-A081-3EDACC766612}"/>
                </c:ext>
              </c:extLst>
            </c:dLbl>
            <c:dLbl>
              <c:idx val="3"/>
              <c:layout>
                <c:manualLayout>
                  <c:x val="0"/>
                  <c:y val="-0.263736263736263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14-4C04-A081-3EDACC766612}"/>
                </c:ext>
              </c:extLst>
            </c:dLbl>
            <c:dLbl>
              <c:idx val="4"/>
              <c:layout>
                <c:manualLayout>
                  <c:x val="-1.5625000000000001E-3"/>
                  <c:y val="-0.2747252747252747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14-4C04-A081-3EDACC766612}"/>
                </c:ext>
              </c:extLst>
            </c:dLbl>
            <c:dLbl>
              <c:idx val="5"/>
              <c:layout>
                <c:manualLayout>
                  <c:x val="0"/>
                  <c:y val="-0.255494505494505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14-4C04-A081-3EDACC766612}"/>
                </c:ext>
              </c:extLst>
            </c:dLbl>
            <c:dLbl>
              <c:idx val="6"/>
              <c:layout>
                <c:manualLayout>
                  <c:x val="0"/>
                  <c:y val="-0.282967032967032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14-4C04-A081-3EDACC766612}"/>
                </c:ext>
              </c:extLst>
            </c:dLbl>
            <c:dLbl>
              <c:idx val="7"/>
              <c:layout>
                <c:manualLayout>
                  <c:x val="-1.5625000000000001E-3"/>
                  <c:y val="-0.291208791208791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14-4C04-A081-3EDACC766612}"/>
                </c:ext>
              </c:extLst>
            </c:dLbl>
            <c:dLbl>
              <c:idx val="8"/>
              <c:layout>
                <c:manualLayout>
                  <c:x val="0"/>
                  <c:y val="-0.291208791208791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14-4C04-A081-3EDACC766612}"/>
                </c:ext>
              </c:extLst>
            </c:dLbl>
            <c:dLbl>
              <c:idx val="9"/>
              <c:layout>
                <c:manualLayout>
                  <c:x val="4.6874999999999998E-3"/>
                  <c:y val="-0.296703296703296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14-4C04-A081-3EDACC766612}"/>
                </c:ext>
              </c:extLst>
            </c:dLbl>
            <c:dLbl>
              <c:idx val="10"/>
              <c:layout>
                <c:manualLayout>
                  <c:x val="-6.2500000000000003E-3"/>
                  <c:y val="-0.311827956989247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A7-4828-AE12-511C29FEDFA2}"/>
                </c:ext>
              </c:extLst>
            </c:dLbl>
            <c:spPr>
              <a:noFill/>
              <a:ln>
                <a:noFill/>
              </a:ln>
              <a:effectLst/>
            </c:spPr>
            <c:txPr>
              <a:bodyPr rot="-5400000" spcFirstLastPara="1" vertOverflow="ellipsis"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'!$A$5:$A$22</c15:sqref>
                  </c15:fullRef>
                </c:ext>
              </c:extLst>
              <c:f>'II.3. Empl x sector '!$A$12:$A$22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Abr.25 </c:v>
                </c:pt>
              </c:strCache>
            </c:strRef>
          </c:cat>
          <c:val>
            <c:numRef>
              <c:extLst>
                <c:ext xmlns:c15="http://schemas.microsoft.com/office/drawing/2012/chart" uri="{02D57815-91ED-43cb-92C2-25804820EDAC}">
                  <c15:fullRef>
                    <c15:sqref>'II.3. Empl x sector '!$J$5:$J$22</c15:sqref>
                  </c15:fullRef>
                </c:ext>
              </c:extLst>
              <c:f>'II.3. Empl x sector '!$J$12:$J$22</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2554953</c:v>
                </c:pt>
              </c:numCache>
            </c:numRef>
          </c:val>
          <c:extLst>
            <c:ext xmlns:c16="http://schemas.microsoft.com/office/drawing/2014/chart" uri="{C3380CC4-5D6E-409C-BE32-E72D297353CC}">
              <c16:uniqueId val="{00000000-D2B2-4ABF-BD32-3AC0235B22DA}"/>
            </c:ext>
          </c:extLst>
        </c:ser>
        <c:dLbls>
          <c:showLegendKey val="0"/>
          <c:showVal val="0"/>
          <c:showCatName val="0"/>
          <c:showSerName val="0"/>
          <c:showPercent val="0"/>
          <c:showBubbleSize val="0"/>
        </c:dLbls>
        <c:gapWidth val="35"/>
        <c:overlap val="100"/>
        <c:axId val="1553035167"/>
        <c:axId val="1553037247"/>
      </c:barChart>
      <c:catAx>
        <c:axId val="155303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53037247"/>
        <c:crosses val="autoZero"/>
        <c:auto val="1"/>
        <c:lblAlgn val="ctr"/>
        <c:lblOffset val="100"/>
        <c:noMultiLvlLbl val="0"/>
      </c:catAx>
      <c:valAx>
        <c:axId val="1553037247"/>
        <c:scaling>
          <c:orientation val="minMax"/>
        </c:scaling>
        <c:delete val="1"/>
        <c:axPos val="l"/>
        <c:numFmt formatCode="_(* #,##0_);_(* \(#,##0\);_(* &quot;-&quot;??_);_(@_)" sourceLinked="1"/>
        <c:majorTickMark val="none"/>
        <c:minorTickMark val="none"/>
        <c:tickLblPos val="nextTo"/>
        <c:crossAx val="1553035167"/>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8874751754854357E-2"/>
          <c:y val="7.4608216952823589E-2"/>
          <c:w val="0.95588023897960861"/>
          <c:h val="0.74461227804977104"/>
        </c:manualLayout>
      </c:layout>
      <c:barChart>
        <c:barDir val="col"/>
        <c:grouping val="clustered"/>
        <c:varyColors val="0"/>
        <c:ser>
          <c:idx val="0"/>
          <c:order val="0"/>
          <c:spPr>
            <a:solidFill>
              <a:srgbClr val="00A94F"/>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AE2-4EFD-BDB5-431339371B99}"/>
              </c:ext>
            </c:extLst>
          </c:dPt>
          <c:dPt>
            <c:idx val="1"/>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AE2-4EFD-BDB5-431339371B99}"/>
              </c:ext>
            </c:extLst>
          </c:dPt>
          <c:dPt>
            <c:idx val="2"/>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AE2-4EFD-BDB5-431339371B99}"/>
              </c:ext>
            </c:extLst>
          </c:dPt>
          <c:dLbls>
            <c:dLbl>
              <c:idx val="0"/>
              <c:layout>
                <c:manualLayout>
                  <c:x val="-1.0224948326438976E-2"/>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2-4EFD-BDB5-431339371B99}"/>
                </c:ext>
              </c:extLst>
            </c:dLbl>
            <c:spPr>
              <a:noFill/>
              <a:ln>
                <a:noFill/>
              </a:ln>
              <a:effectLst/>
            </c:spPr>
            <c:txPr>
              <a:bodyPr rot="0" spcFirstLastPara="1" vertOverflow="ellipsis" vert="horz" wrap="square" anchor="ctr" anchorCtr="1"/>
              <a:lstStyle/>
              <a:p>
                <a:pPr>
                  <a:defRPr sz="4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'!$B$4:$D$4</c:f>
              <c:strCache>
                <c:ptCount val="3"/>
                <c:pt idx="0">
                  <c:v> Empresas Privadas </c:v>
                </c:pt>
                <c:pt idx="1">
                  <c:v>  Empresas Públicas  </c:v>
                </c:pt>
                <c:pt idx="2">
                  <c:v> Empresas Públicas Centralizadas </c:v>
                </c:pt>
              </c:strCache>
            </c:strRef>
          </c:cat>
          <c:val>
            <c:numRef>
              <c:f>'II.3. Empl x sector '!$B$22:$D$22</c:f>
              <c:numCache>
                <c:formatCode>_(* #,##0_);_(* \(#,##0\);_(* "-"??_);_(@_)</c:formatCode>
                <c:ptCount val="3"/>
                <c:pt idx="0">
                  <c:v>111636</c:v>
                </c:pt>
                <c:pt idx="1">
                  <c:v>580</c:v>
                </c:pt>
                <c:pt idx="2">
                  <c:v>68</c:v>
                </c:pt>
              </c:numCache>
            </c:numRef>
          </c:val>
          <c:extLst>
            <c:ext xmlns:c16="http://schemas.microsoft.com/office/drawing/2014/chart" uri="{C3380CC4-5D6E-409C-BE32-E72D297353CC}">
              <c16:uniqueId val="{00000006-AAE2-4EFD-BDB5-431339371B99}"/>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defRPr>
            </a:pPr>
            <a:r>
              <a:rPr lang="es-DO" sz="4000" b="1"/>
              <a:t>Afiliación del SFS por Régimen de Financiamiento</a:t>
            </a:r>
          </a:p>
        </c:rich>
      </c:tx>
      <c:layout>
        <c:manualLayout>
          <c:xMode val="edge"/>
          <c:yMode val="edge"/>
          <c:x val="0.11045509236718544"/>
          <c:y val="1.8595149010628993E-2"/>
        </c:manualLayout>
      </c:layout>
      <c:overlay val="0"/>
      <c:spPr>
        <a:noFill/>
        <a:ln>
          <a:noFill/>
        </a:ln>
        <a:effectLst/>
      </c:spPr>
      <c:txPr>
        <a:bodyPr rot="0" spcFirstLastPara="1" vertOverflow="ellipsis" vert="horz" wrap="square" anchor="ctr" anchorCtr="1"/>
        <a:lstStyle/>
        <a:p>
          <a:pPr>
            <a:defRPr sz="4000" b="1" i="0" u="none" strike="noStrike" kern="1200"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defRPr>
          </a:pPr>
          <a:endParaRPr lang="es-DO"/>
        </a:p>
      </c:txPr>
    </c:title>
    <c:autoTitleDeleted val="0"/>
    <c:view3D>
      <c:rotX val="80"/>
      <c:rotY val="3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3046913911880418E-2"/>
          <c:y val="0.2090839708866179"/>
          <c:w val="0.85986613613596818"/>
          <c:h val="0.74571499041343225"/>
        </c:manualLayout>
      </c:layout>
      <c:pie3DChart>
        <c:varyColors val="1"/>
        <c:ser>
          <c:idx val="0"/>
          <c:order val="0"/>
          <c:spPr>
            <a:solidFill>
              <a:srgbClr val="00B0F0"/>
            </a:solidFill>
          </c:spPr>
          <c:explosion val="13"/>
          <c:dPt>
            <c:idx val="0"/>
            <c:bubble3D val="0"/>
            <c:explosion val="7"/>
            <c:spPr>
              <a:solidFill>
                <a:srgbClr val="00539B"/>
              </a:solidFill>
              <a:ln w="25400">
                <a:solidFill>
                  <a:schemeClr val="lt1"/>
                </a:solidFill>
              </a:ln>
              <a:effectLst/>
              <a:sp3d contourW="25400">
                <a:contourClr>
                  <a:schemeClr val="lt1"/>
                </a:contourClr>
              </a:sp3d>
            </c:spPr>
            <c:extLst>
              <c:ext xmlns:c16="http://schemas.microsoft.com/office/drawing/2014/chart" uri="{C3380CC4-5D6E-409C-BE32-E72D297353CC}">
                <c16:uniqueId val="{00000001-A1AA-49B9-98E5-60DCD9EEDD2D}"/>
              </c:ext>
            </c:extLst>
          </c:dPt>
          <c:dPt>
            <c:idx val="1"/>
            <c:bubble3D val="0"/>
            <c:explosion val="4"/>
            <c:spPr>
              <a:solidFill>
                <a:srgbClr val="00A94F"/>
              </a:solidFill>
              <a:ln w="25400">
                <a:solidFill>
                  <a:schemeClr val="lt1"/>
                </a:solidFill>
              </a:ln>
              <a:effectLst/>
              <a:sp3d contourW="25400">
                <a:contourClr>
                  <a:schemeClr val="lt1"/>
                </a:contourClr>
              </a:sp3d>
            </c:spPr>
            <c:extLst>
              <c:ext xmlns:c16="http://schemas.microsoft.com/office/drawing/2014/chart" uri="{C3380CC4-5D6E-409C-BE32-E72D297353CC}">
                <c16:uniqueId val="{00000003-A1AA-49B9-98E5-60DCD9EEDD2D}"/>
              </c:ext>
            </c:extLst>
          </c:dPt>
          <c:dPt>
            <c:idx val="2"/>
            <c:bubble3D val="0"/>
            <c:spPr>
              <a:solidFill>
                <a:schemeClr val="accent3">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A1AA-49B9-98E5-60DCD9EEDD2D}"/>
              </c:ext>
            </c:extLst>
          </c:dPt>
          <c:dLbls>
            <c:dLbl>
              <c:idx val="0"/>
              <c:layout>
                <c:manualLayout>
                  <c:x val="1.6208348321941991E-2"/>
                  <c:y val="-5.112376510876054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1AA-49B9-98E5-60DCD9EEDD2D}"/>
                </c:ext>
              </c:extLst>
            </c:dLbl>
            <c:dLbl>
              <c:idx val="2"/>
              <c:layout>
                <c:manualLayout>
                  <c:x val="-2.3294718138108843E-2"/>
                  <c:y val="1.111683469472857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1AA-49B9-98E5-60DCD9EEDD2D}"/>
                </c:ext>
              </c:extLst>
            </c:dLbl>
            <c:spPr>
              <a:noFill/>
              <a:ln>
                <a:noFill/>
              </a:ln>
              <a:effectLst/>
            </c:spPr>
            <c:txPr>
              <a:bodyPr rot="0" spcFirstLastPara="1" vertOverflow="ellipsis" vert="horz" wrap="square" anchor="ctr" anchorCtr="1"/>
              <a:lstStyle/>
              <a:p>
                <a:pPr>
                  <a:defRPr sz="4000" b="0" i="0" u="none" strike="noStrike" kern="1200" cap="none" spc="0" baseline="0">
                    <a:ln w="0"/>
                    <a:solidFill>
                      <a:sysClr val="windowText" lastClr="000000"/>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'III.1.4.Afil. SFS'!$B$4:$D$4</c:f>
              <c:strCache>
                <c:ptCount val="3"/>
                <c:pt idx="0">
                  <c:v> Afiliación  RC </c:v>
                </c:pt>
                <c:pt idx="1">
                  <c:v> Afiliación RS </c:v>
                </c:pt>
                <c:pt idx="2">
                  <c:v> Pensionados </c:v>
                </c:pt>
              </c:strCache>
            </c:strRef>
          </c:cat>
          <c:val>
            <c:numRef>
              <c:f>'III.1.4.Afil. SFS'!$B$22:$D$22</c:f>
              <c:numCache>
                <c:formatCode>_(* #,##0_);_(* \(#,##0\);_(* "-"??_);_(@_)</c:formatCode>
                <c:ptCount val="3"/>
                <c:pt idx="0">
                  <c:v>4750230</c:v>
                </c:pt>
                <c:pt idx="1">
                  <c:v>5697226</c:v>
                </c:pt>
                <c:pt idx="2">
                  <c:v>116976</c:v>
                </c:pt>
              </c:numCache>
            </c:numRef>
          </c:val>
          <c:extLst>
            <c:ext xmlns:c16="http://schemas.microsoft.com/office/drawing/2014/chart" uri="{C3380CC4-5D6E-409C-BE32-E72D297353CC}">
              <c16:uniqueId val="{00000006-A1AA-49B9-98E5-60DCD9EEDD2D}"/>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b="0"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Total de Afiliados del SFS por Sexo y Tipo de Afiliación</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846938099321743"/>
          <c:y val="0.19571391076115482"/>
          <c:w val="0.52736460850809486"/>
          <c:h val="0.73077078433377651"/>
        </c:manualLayout>
      </c:layout>
      <c:barChart>
        <c:barDir val="bar"/>
        <c:grouping val="clustered"/>
        <c:varyColors val="0"/>
        <c:ser>
          <c:idx val="0"/>
          <c:order val="0"/>
          <c:tx>
            <c:strRef>
              <c:f>'INFOGRAFIA V3'!$O$31</c:f>
              <c:strCache>
                <c:ptCount val="1"/>
                <c:pt idx="0">
                  <c:v>Masculino</c:v>
                </c:pt>
              </c:strCache>
            </c:strRef>
          </c:tx>
          <c:spPr>
            <a:solidFill>
              <a:schemeClr val="accent1"/>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9919-49B5-8C7A-D5499EB3AB8F}"/>
              </c:ext>
            </c:extLst>
          </c:dPt>
          <c:dPt>
            <c:idx val="1"/>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3-9919-49B5-8C7A-D5499EB3AB8F}"/>
              </c:ext>
            </c:extLst>
          </c:dPt>
          <c:dPt>
            <c:idx val="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9919-49B5-8C7A-D5499EB3AB8F}"/>
              </c:ext>
            </c:extLst>
          </c:dPt>
          <c:dLbls>
            <c:dLbl>
              <c:idx val="2"/>
              <c:layout>
                <c:manualLayout>
                  <c:x val="0"/>
                  <c:y val="1.3157894736842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19-49B5-8C7A-D5499EB3AB8F}"/>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 V3'!$P$30:$R$30</c:f>
              <c:strCache>
                <c:ptCount val="3"/>
                <c:pt idx="0">
                  <c:v> Titulares RC</c:v>
                </c:pt>
                <c:pt idx="1">
                  <c:v>Dependientes   </c:v>
                </c:pt>
                <c:pt idx="2">
                  <c:v>Depend.  Directos  </c:v>
                </c:pt>
              </c:strCache>
            </c:strRef>
          </c:cat>
          <c:val>
            <c:numRef>
              <c:f>'INFOGRAFIA V3'!$P$31:$R$31</c:f>
              <c:numCache>
                <c:formatCode>#,##0</c:formatCode>
                <c:ptCount val="3"/>
                <c:pt idx="0">
                  <c:v>3597939</c:v>
                </c:pt>
                <c:pt idx="1">
                  <c:v>1506803</c:v>
                </c:pt>
                <c:pt idx="2">
                  <c:v>82266</c:v>
                </c:pt>
              </c:numCache>
            </c:numRef>
          </c:val>
          <c:extLst>
            <c:ext xmlns:c16="http://schemas.microsoft.com/office/drawing/2014/chart" uri="{C3380CC4-5D6E-409C-BE32-E72D297353CC}">
              <c16:uniqueId val="{00000006-9919-49B5-8C7A-D5499EB3AB8F}"/>
            </c:ext>
          </c:extLst>
        </c:ser>
        <c:ser>
          <c:idx val="1"/>
          <c:order val="1"/>
          <c:tx>
            <c:strRef>
              <c:f>'INFOGRAFIA V3'!$O$32</c:f>
              <c:strCache>
                <c:ptCount val="1"/>
                <c:pt idx="0">
                  <c:v>Femenino</c:v>
                </c:pt>
              </c:strCache>
            </c:strRef>
          </c:tx>
          <c:spPr>
            <a:solidFill>
              <a:schemeClr val="accent3">
                <a:lumMod val="75000"/>
              </a:schemeClr>
            </a:solidFill>
            <a:ln>
              <a:noFill/>
            </a:ln>
            <a:effectLst/>
          </c:spPr>
          <c:invertIfNegative val="0"/>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8-9919-49B5-8C7A-D5499EB3AB8F}"/>
              </c:ext>
            </c:extLst>
          </c:dPt>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A-9919-49B5-8C7A-D5499EB3AB8F}"/>
              </c:ext>
            </c:extLst>
          </c:dPt>
          <c:dLbls>
            <c:dLbl>
              <c:idx val="0"/>
              <c:layout>
                <c:manualLayout>
                  <c:x val="5.6432053956501993E-3"/>
                  <c:y val="-1.53508771929824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19-49B5-8C7A-D5499EB3AB8F}"/>
                </c:ext>
              </c:extLst>
            </c:dLbl>
            <c:dLbl>
              <c:idx val="1"/>
              <c:layout>
                <c:manualLayout>
                  <c:x val="1.1768779668238255E-2"/>
                  <c:y val="-1.072112371201683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19-49B5-8C7A-D5499EB3AB8F}"/>
                </c:ext>
              </c:extLst>
            </c:dLbl>
            <c:dLbl>
              <c:idx val="2"/>
              <c:layout>
                <c:manualLayout>
                  <c:x val="2.2424666288842531E-3"/>
                  <c:y val="2.1929824561403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19-49B5-8C7A-D5499EB3AB8F}"/>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'INFOGRAFIA V3'!$P$30:$R$30</c:f>
              <c:strCache>
                <c:ptCount val="3"/>
                <c:pt idx="0">
                  <c:v> Titulares RC</c:v>
                </c:pt>
                <c:pt idx="1">
                  <c:v>Dependientes   </c:v>
                </c:pt>
                <c:pt idx="2">
                  <c:v>Depend.  Directos  </c:v>
                </c:pt>
              </c:strCache>
            </c:strRef>
          </c:cat>
          <c:val>
            <c:numRef>
              <c:f>'INFOGRAFIA V3'!$P$32:$R$32</c:f>
              <c:numCache>
                <c:formatCode>#,##0</c:formatCode>
                <c:ptCount val="3"/>
                <c:pt idx="0">
                  <c:v>3398814</c:v>
                </c:pt>
                <c:pt idx="1">
                  <c:v>1662505</c:v>
                </c:pt>
                <c:pt idx="2">
                  <c:v>179275</c:v>
                </c:pt>
              </c:numCache>
            </c:numRef>
          </c:val>
          <c:extLst>
            <c:ext xmlns:c16="http://schemas.microsoft.com/office/drawing/2014/chart" uri="{C3380CC4-5D6E-409C-BE32-E72D297353CC}">
              <c16:uniqueId val="{0000000C-9919-49B5-8C7A-D5499EB3AB8F}"/>
            </c:ext>
          </c:extLst>
        </c:ser>
        <c:dLbls>
          <c:showLegendKey val="0"/>
          <c:showVal val="0"/>
          <c:showCatName val="0"/>
          <c:showSerName val="0"/>
          <c:showPercent val="0"/>
          <c:showBubbleSize val="0"/>
        </c:dLbls>
        <c:gapWidth val="75"/>
        <c:overlap val="40"/>
        <c:axId val="1540506944"/>
        <c:axId val="1540504448"/>
      </c:barChart>
      <c:catAx>
        <c:axId val="1540506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40504448"/>
        <c:crosses val="autoZero"/>
        <c:auto val="1"/>
        <c:lblAlgn val="ctr"/>
        <c:lblOffset val="100"/>
        <c:noMultiLvlLbl val="0"/>
      </c:catAx>
      <c:valAx>
        <c:axId val="1540504448"/>
        <c:scaling>
          <c:orientation val="minMax"/>
        </c:scaling>
        <c:delete val="1"/>
        <c:axPos val="b"/>
        <c:numFmt formatCode="#,##0" sourceLinked="1"/>
        <c:majorTickMark val="none"/>
        <c:minorTickMark val="none"/>
        <c:tickLblPos val="nextTo"/>
        <c:crossAx val="1540506944"/>
        <c:crosses val="autoZero"/>
        <c:crossBetween val="between"/>
      </c:valAx>
      <c:spPr>
        <a:noFill/>
        <a:ln>
          <a:noFill/>
        </a:ln>
        <a:effectLst/>
      </c:spPr>
    </c:plotArea>
    <c:legend>
      <c:legendPos val="r"/>
      <c:layout>
        <c:manualLayout>
          <c:xMode val="edge"/>
          <c:yMode val="edge"/>
          <c:x val="0.23693149391748375"/>
          <c:y val="0.13416240583563419"/>
          <c:w val="0.58558068184256262"/>
          <c:h val="6.8935381971058932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3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 de la Composición del Patrimonio de Fondos de Pensiones SVDS</a:t>
            </a:r>
          </a:p>
        </c:rich>
      </c:tx>
      <c:layout>
        <c:manualLayout>
          <c:xMode val="edge"/>
          <c:yMode val="edge"/>
          <c:x val="0.13784063098531601"/>
          <c:y val="4.9634052541015453E-2"/>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123679222772966E-2"/>
          <c:y val="0.23126038770376256"/>
          <c:w val="0.9444271417187774"/>
          <c:h val="0.54423249764402593"/>
        </c:manualLayout>
      </c:layout>
      <c:lineChart>
        <c:grouping val="standard"/>
        <c:varyColors val="0"/>
        <c:ser>
          <c:idx val="1"/>
          <c:order val="0"/>
          <c:tx>
            <c:strRef>
              <c:f>'IV.3.9 Cartera Comp.'!$C$4</c:f>
              <c:strCache>
                <c:ptCount val="1"/>
                <c:pt idx="0">
                  <c:v>%</c:v>
                </c:pt>
              </c:strCache>
            </c:strRef>
          </c:tx>
          <c:spPr>
            <a:ln w="85725" cap="rnd">
              <a:solidFill>
                <a:srgbClr val="00A94F"/>
              </a:solidFill>
              <a:round/>
            </a:ln>
            <a:effectLst/>
          </c:spPr>
          <c:marker>
            <c:symbol val="circle"/>
            <c:size val="40"/>
            <c:spPr>
              <a:solidFill>
                <a:srgbClr val="00A94F"/>
              </a:solidFill>
              <a:ln w="9525">
                <a:solidFill>
                  <a:srgbClr val="00539B"/>
                </a:solidFill>
              </a:ln>
              <a:effectLst/>
            </c:spPr>
          </c:marker>
          <c:dLbls>
            <c:dLbl>
              <c:idx val="1"/>
              <c:layout>
                <c:manualLayout>
                  <c:x val="-1.5299869750164287E-2"/>
                  <c:y val="-4.6177523264137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E1-423E-8A11-4FEECA707C5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Comp.'!$C$5:$C$9</c:f>
              <c:numCache>
                <c:formatCode>0.0%</c:formatCode>
                <c:ptCount val="5"/>
                <c:pt idx="0">
                  <c:v>0.79513605895947426</c:v>
                </c:pt>
                <c:pt idx="1">
                  <c:v>0.11076048071783973</c:v>
                </c:pt>
                <c:pt idx="2">
                  <c:v>5.9020997929485793E-2</c:v>
                </c:pt>
                <c:pt idx="3">
                  <c:v>3.4910780224022948E-2</c:v>
                </c:pt>
                <c:pt idx="4">
                  <c:v>1.716821691773611E-4</c:v>
                </c:pt>
              </c:numCache>
            </c:numRef>
          </c:val>
          <c:smooth val="0"/>
          <c:extLst>
            <c:ext xmlns:c16="http://schemas.microsoft.com/office/drawing/2014/chart" uri="{C3380CC4-5D6E-409C-BE32-E72D297353CC}">
              <c16:uniqueId val="{00000001-72E1-423E-8A11-4FEECA707C53}"/>
            </c:ext>
          </c:extLst>
        </c:ser>
        <c:dLbls>
          <c:showLegendKey val="0"/>
          <c:showVal val="0"/>
          <c:showCatName val="0"/>
          <c:showSerName val="0"/>
          <c:showPercent val="0"/>
          <c:showBubbleSize val="0"/>
        </c:dLbls>
        <c:marker val="1"/>
        <c:smooth val="0"/>
        <c:axId val="1219577168"/>
        <c:axId val="1219567600"/>
      </c:lineChart>
      <c:catAx>
        <c:axId val="121957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219567600"/>
        <c:crosses val="autoZero"/>
        <c:auto val="1"/>
        <c:lblAlgn val="ctr"/>
        <c:lblOffset val="100"/>
        <c:noMultiLvlLbl val="0"/>
      </c:catAx>
      <c:valAx>
        <c:axId val="12195676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21957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layout>
        <c:manualLayout>
          <c:xMode val="edge"/>
          <c:yMode val="edge"/>
          <c:x val="8.536405643469322E-2"/>
          <c:y val="2.155903750286248E-2"/>
        </c:manualLayout>
      </c:layout>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5.5405229042502285E-3"/>
          <c:y val="0.40166308756859936"/>
          <c:w val="0.97702678160490597"/>
          <c:h val="0.40448141562949791"/>
        </c:manualLayout>
      </c:layout>
      <c:lineChart>
        <c:grouping val="standard"/>
        <c:varyColors val="0"/>
        <c:ser>
          <c:idx val="0"/>
          <c:order val="0"/>
          <c:tx>
            <c:strRef>
              <c:f>'V.4.2.NA. Reportes ARL'!$E$4</c:f>
              <c:strCache>
                <c:ptCount val="1"/>
                <c:pt idx="0">
                  <c:v>% Accidentes Laborales</c:v>
                </c:pt>
              </c:strCache>
            </c:strRef>
          </c:tx>
          <c:spPr>
            <a:ln w="82550" cap="rnd" cmpd="sng" algn="ctr">
              <a:solidFill>
                <a:schemeClr val="accent1">
                  <a:shade val="95000"/>
                  <a:satMod val="105000"/>
                </a:schemeClr>
              </a:solidFill>
              <a:prstDash val="solid"/>
              <a:round/>
            </a:ln>
            <a:effectLst/>
          </c:spPr>
          <c:marker>
            <c:symbol val="circle"/>
            <c:size val="30"/>
            <c:spPr>
              <a:solidFill>
                <a:srgbClr val="00539B"/>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'V.4.2.NA. Reportes ARL'!$E$5:$E$23</c15:sqref>
                  </c15:fullRef>
                </c:ext>
              </c:extLst>
              <c:f>'V.4.2.NA. Reportes ARL'!$E$13:$E$23</c:f>
              <c:numCache>
                <c:formatCode>0.0%</c:formatCode>
                <c:ptCount val="11"/>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0.98924988055422836</c:v>
                </c:pt>
                <c:pt idx="10">
                  <c:v>0.99128306167532387</c:v>
                </c:pt>
              </c:numCache>
            </c:numRef>
          </c:val>
          <c:smooth val="0"/>
          <c:extLst>
            <c:ext xmlns:c16="http://schemas.microsoft.com/office/drawing/2014/chart" uri="{C3380CC4-5D6E-409C-BE32-E72D297353CC}">
              <c16:uniqueId val="{00000000-F4AA-4254-9034-3C334585D77B}"/>
            </c:ext>
          </c:extLst>
        </c:ser>
        <c:ser>
          <c:idx val="1"/>
          <c:order val="1"/>
          <c:tx>
            <c:strRef>
              <c:f>'V.4.2.NA. Reportes ARL'!$F$4</c:f>
              <c:strCache>
                <c:ptCount val="1"/>
                <c:pt idx="0">
                  <c:v>% Enfermedades Profesionales</c:v>
                </c:pt>
              </c:strCache>
            </c:strRef>
          </c:tx>
          <c:spPr>
            <a:ln w="82550" cap="rnd" cmpd="sng" algn="ctr">
              <a:solidFill>
                <a:srgbClr val="00A94F"/>
              </a:solidFill>
              <a:prstDash val="solid"/>
              <a:round/>
            </a:ln>
            <a:effectLst/>
          </c:spPr>
          <c:marker>
            <c:symbol val="circle"/>
            <c:size val="30"/>
            <c:spPr>
              <a:solidFill>
                <a:srgbClr val="00A94F"/>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'V.4.2.NA. Reportes ARL'!$F$5:$F$23</c15:sqref>
                  </c15:fullRef>
                </c:ext>
              </c:extLst>
              <c:f>'V.4.2.NA. Reportes ARL'!$F$13:$F$23</c:f>
              <c:numCache>
                <c:formatCode>0.0%</c:formatCode>
                <c:ptCount val="11"/>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1.075011944577162E-2</c:v>
                </c:pt>
                <c:pt idx="10">
                  <c:v>8.7169383246761007E-3</c:v>
                </c:pt>
              </c:numCache>
            </c:numRef>
          </c:val>
          <c:smooth val="0"/>
          <c:extLst>
            <c:ext xmlns:c16="http://schemas.microsoft.com/office/drawing/2014/chart" uri="{C3380CC4-5D6E-409C-BE32-E72D297353CC}">
              <c16:uniqueId val="{00000001-F4AA-4254-9034-3C334585D77B}"/>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5.0741951281247068E-2"/>
          <c:y val="0.16327745617163711"/>
          <c:w val="0.94716161266005272"/>
          <c:h val="4.6856928968643713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Reporte de Accidentes Laborales y Enfermedades Profesionales por Empresas</a:t>
            </a:r>
          </a:p>
        </c:rich>
      </c:tx>
      <c:layout>
        <c:manualLayout>
          <c:xMode val="edge"/>
          <c:yMode val="edge"/>
          <c:x val="0.13622862229800892"/>
          <c:y val="3.146853802365613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1767910955574999E-2"/>
          <c:y val="0.34519438710937833"/>
          <c:w val="0.97083819498865964"/>
          <c:h val="0.45217634957792441"/>
        </c:manualLayout>
      </c:layout>
      <c:barChart>
        <c:barDir val="col"/>
        <c:grouping val="clustered"/>
        <c:varyColors val="0"/>
        <c:ser>
          <c:idx val="0"/>
          <c:order val="0"/>
          <c:tx>
            <c:strRef>
              <c:f>'V.4.5. NA.Cant. accid x sector'!$B$4</c:f>
              <c:strCache>
                <c:ptCount val="1"/>
                <c:pt idx="0">
                  <c:v>Sector Público</c:v>
                </c:pt>
              </c:strCache>
            </c:strRef>
          </c:tx>
          <c:spPr>
            <a:solidFill>
              <a:srgbClr val="00A94F"/>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'V.4.5. NA.Cant. accid x sector'!$B$5:$B$23</c15:sqref>
                  </c15:fullRef>
                </c:ext>
              </c:extLst>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3481</c:v>
                </c:pt>
              </c:numCache>
            </c:numRef>
          </c:val>
          <c:extLst>
            <c:ext xmlns:c16="http://schemas.microsoft.com/office/drawing/2014/chart" uri="{C3380CC4-5D6E-409C-BE32-E72D297353CC}">
              <c16:uniqueId val="{00000000-EED8-44EF-8F4E-5D7D4DCF2A46}"/>
            </c:ext>
          </c:extLst>
        </c:ser>
        <c:ser>
          <c:idx val="1"/>
          <c:order val="1"/>
          <c:tx>
            <c:strRef>
              <c:f>'V.4.5. NA.Cant. accid x sector'!$C$4</c:f>
              <c:strCache>
                <c:ptCount val="1"/>
                <c:pt idx="0">
                  <c:v>Sector Privado</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'V.4.5. NA.Cant. accid x sector'!$C$5:$C$23</c15:sqref>
                  </c15:fullRef>
                </c:ext>
              </c:extLst>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13268</c:v>
                </c:pt>
              </c:numCache>
            </c:numRef>
          </c:val>
          <c:extLst>
            <c:ext xmlns:c16="http://schemas.microsoft.com/office/drawing/2014/chart" uri="{C3380CC4-5D6E-409C-BE32-E72D297353CC}">
              <c16:uniqueId val="{00000001-EED8-44EF-8F4E-5D7D4DCF2A46}"/>
            </c:ext>
          </c:extLst>
        </c:ser>
        <c:dLbls>
          <c:showLegendKey val="0"/>
          <c:showVal val="0"/>
          <c:showCatName val="0"/>
          <c:showSerName val="0"/>
          <c:showPercent val="0"/>
          <c:showBubbleSize val="0"/>
        </c:dLbls>
        <c:gapWidth val="37"/>
        <c:axId val="436871480"/>
        <c:axId val="436871872"/>
      </c:bar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solidFill>
          <a:schemeClr val="bg1"/>
        </a:solidFill>
        <a:ln>
          <a:noFill/>
        </a:ln>
        <a:effectLst/>
      </c:spPr>
    </c:plotArea>
    <c:legend>
      <c:legendPos val="t"/>
      <c:layout>
        <c:manualLayout>
          <c:xMode val="edge"/>
          <c:yMode val="edge"/>
          <c:x val="0.1834209882532456"/>
          <c:y val="0.1273223912889267"/>
          <c:w val="0.59951394964518312"/>
          <c:h val="4.8680415674784837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4000"/>
            </a:pPr>
            <a:r>
              <a:rPr lang="es-DO" sz="4000"/>
              <a:t>Reporte de Accidentes Laborales y Enfermedades Profesionales por Sexo</a:t>
            </a:r>
          </a:p>
        </c:rich>
      </c:tx>
      <c:layout>
        <c:manualLayout>
          <c:xMode val="edge"/>
          <c:yMode val="edge"/>
          <c:x val="0.16147194751582794"/>
          <c:y val="3.6425398748233329E-3"/>
        </c:manualLayout>
      </c:layout>
      <c:overlay val="0"/>
    </c:title>
    <c:autoTitleDeleted val="0"/>
    <c:plotArea>
      <c:layout>
        <c:manualLayout>
          <c:layoutTarget val="inner"/>
          <c:xMode val="edge"/>
          <c:yMode val="edge"/>
          <c:x val="1.4548646936374332E-2"/>
          <c:y val="0.42877289532356844"/>
          <c:w val="0.96167577635269819"/>
          <c:h val="0.29192319381129989"/>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30"/>
            <c:spPr>
              <a:solidFill>
                <a:srgbClr val="00539B"/>
              </a:solidFill>
              <a:ln w="38100">
                <a:solidFill>
                  <a:srgbClr val="00539B"/>
                </a:solidFill>
              </a:ln>
            </c:spPr>
          </c:marker>
          <c:dLbls>
            <c:spPr>
              <a:noFill/>
              <a:ln>
                <a:noFill/>
              </a:ln>
              <a:effectLst/>
            </c:spPr>
            <c:txPr>
              <a:bodyPr rot="-5400000" vert="horz"/>
              <a:lstStyle/>
              <a:p>
                <a:pPr>
                  <a:defRPr sz="32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0.39309809540868113</c:v>
                </c:pt>
              </c:numCache>
            </c:numRef>
          </c:val>
          <c:smooth val="0"/>
          <c:extLst>
            <c:ext xmlns:c16="http://schemas.microsoft.com/office/drawing/2014/chart" uri="{C3380CC4-5D6E-409C-BE32-E72D297353CC}">
              <c16:uniqueId val="{00000000-C7F8-4507-B6D3-678C1555F9AE}"/>
            </c:ext>
          </c:extLst>
        </c:ser>
        <c:ser>
          <c:idx val="1"/>
          <c:order val="1"/>
          <c:tx>
            <c:strRef>
              <c:f>'V.4.6. Accid x sexo'!$F$4</c:f>
              <c:strCache>
                <c:ptCount val="1"/>
                <c:pt idx="0">
                  <c:v>% Masculino</c:v>
                </c:pt>
              </c:strCache>
            </c:strRef>
          </c:tx>
          <c:spPr>
            <a:ln w="38100">
              <a:solidFill>
                <a:srgbClr val="00A94F"/>
              </a:solidFill>
            </a:ln>
          </c:spPr>
          <c:marker>
            <c:symbol val="circle"/>
            <c:size val="30"/>
            <c:spPr>
              <a:solidFill>
                <a:srgbClr val="00A94F"/>
              </a:solidFill>
              <a:ln w="38100">
                <a:solidFill>
                  <a:srgbClr val="00A94F"/>
                </a:solidFill>
              </a:ln>
            </c:spPr>
          </c:marker>
          <c:dLbls>
            <c:spPr>
              <a:noFill/>
              <a:ln>
                <a:noFill/>
              </a:ln>
              <a:effectLst/>
            </c:spPr>
            <c:txPr>
              <a:bodyPr rot="-5400000" vert="horz"/>
              <a:lstStyle/>
              <a:p>
                <a:pPr>
                  <a:defRPr sz="3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0.60690190459131887</c:v>
                </c:pt>
              </c:numCache>
            </c:numRef>
          </c:val>
          <c:smooth val="0"/>
          <c:extLst>
            <c:ext xmlns:c16="http://schemas.microsoft.com/office/drawing/2014/chart" uri="{C3380CC4-5D6E-409C-BE32-E72D297353CC}">
              <c16:uniqueId val="{00000001-C7F8-4507-B6D3-678C1555F9AE}"/>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3600">
                <a:solidFill>
                  <a:sysClr val="windowText" lastClr="000000"/>
                </a:solidFill>
              </a:defRPr>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3642365824961534"/>
          <c:y val="0.1616268732537465"/>
          <c:w val="0.52620582854950604"/>
          <c:h val="9.2603364095617077E-2"/>
        </c:manualLayout>
      </c:layout>
      <c:overlay val="0"/>
    </c:legend>
    <c:plotVisOnly val="1"/>
    <c:dispBlanksAs val="gap"/>
    <c:showDLblsOverMax val="0"/>
  </c:chart>
  <c:spPr>
    <a:solidFill>
      <a:schemeClr val="bg1"/>
    </a:solidFill>
    <a:ln>
      <a:noFill/>
    </a:ln>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4800" b="1" i="0" u="none" strike="noStrike" kern="1200" baseline="0">
                <a:solidFill>
                  <a:sysClr val="windowText" lastClr="000000"/>
                </a:solidFill>
                <a:latin typeface="Arial" panose="020B0604020202020204" pitchFamily="34" charset="0"/>
                <a:ea typeface="+mn-ea"/>
                <a:cs typeface="Arial" panose="020B0604020202020204" pitchFamily="34" charset="0"/>
              </a:rPr>
              <a:t>Monto de Pensión Promedio  del Sistema SVDS por Tipo de Beneficio </a:t>
            </a:r>
          </a:p>
        </c:rich>
      </c:tx>
      <c:layout>
        <c:manualLayout>
          <c:xMode val="edge"/>
          <c:yMode val="edge"/>
          <c:x val="0.1213247686144495"/>
          <c:y val="3.0176402368308614E-2"/>
        </c:manualLayout>
      </c:layout>
      <c:overlay val="0"/>
      <c:spPr>
        <a:noFill/>
        <a:ln>
          <a:noFill/>
        </a:ln>
        <a:effectLst/>
      </c:spPr>
      <c:txPr>
        <a:bodyPr rot="0" spcFirstLastPara="1" vertOverflow="ellipsis" vert="horz" wrap="square" anchor="ctr" anchorCtr="1"/>
        <a:lstStyle/>
        <a:p>
          <a:pPr>
            <a:defRPr sz="4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8773311230832989E-2"/>
          <c:y val="0.21732499089171928"/>
          <c:w val="0.94188829027950449"/>
          <c:h val="0.43984038332417752"/>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dLbl>
              <c:idx val="0"/>
              <c:tx>
                <c:rich>
                  <a:bodyPr/>
                  <a:lstStyle/>
                  <a:p>
                    <a:r>
                      <a:rPr lang="en-US"/>
                      <a:t>13,361.00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024-445C-828E-1435D43B459E}"/>
                </c:ext>
              </c:extLst>
            </c:dLbl>
            <c:dLbl>
              <c:idx val="1"/>
              <c:tx>
                <c:rich>
                  <a:bodyPr/>
                  <a:lstStyle/>
                  <a:p>
                    <a:r>
                      <a:rPr lang="en-US"/>
                      <a:t>4,846.00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24-445C-828E-1435D43B459E}"/>
                </c:ext>
              </c:extLst>
            </c:dLbl>
            <c:dLbl>
              <c:idx val="2"/>
              <c:tx>
                <c:rich>
                  <a:bodyPr/>
                  <a:lstStyle/>
                  <a:p>
                    <a:r>
                      <a:rPr lang="en-US"/>
                      <a:t>16,019.00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24-445C-828E-1435D43B459E}"/>
                </c:ext>
              </c:extLst>
            </c:dLbl>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13361</c:v>
                </c:pt>
                <c:pt idx="1">
                  <c:v>4846</c:v>
                </c:pt>
                <c:pt idx="2">
                  <c:v>16262</c:v>
                </c:pt>
                <c:pt idx="3">
                  <c:v>39362.04</c:v>
                </c:pt>
              </c:numCache>
            </c:numRef>
          </c:val>
          <c:extLst>
            <c:ext xmlns:c16="http://schemas.microsoft.com/office/drawing/2014/chart" uri="{C3380CC4-5D6E-409C-BE32-E72D297353CC}">
              <c16:uniqueId val="{00000000-59A7-4CCF-9B79-8268F8DE3A00}"/>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8987713610102143E-2"/>
          <c:y val="0.27810852254430285"/>
          <c:w val="0.93938209826575414"/>
          <c:h val="0.42957663934577928"/>
        </c:manualLayout>
      </c:layout>
      <c:lineChart>
        <c:grouping val="stacked"/>
        <c:varyColors val="0"/>
        <c:ser>
          <c:idx val="0"/>
          <c:order val="0"/>
          <c:tx>
            <c:strRef>
              <c:f>'IV.3.7. Rent. nom. de los FP'!$B$5</c:f>
              <c:strCache>
                <c:ptCount val="1"/>
                <c:pt idx="0">
                  <c:v>Promedio CCI </c:v>
                </c:pt>
              </c:strCache>
            </c:strRef>
          </c:tx>
          <c:spPr>
            <a:ln w="63500" cap="rnd" cmpd="sng" algn="ctr">
              <a:solidFill>
                <a:srgbClr val="00539B"/>
              </a:solidFill>
              <a:prstDash val="solid"/>
              <a:round/>
            </a:ln>
            <a:effectLst/>
          </c:spPr>
          <c:marker>
            <c:symbol val="diamond"/>
            <c:size val="41"/>
            <c:spPr>
              <a:solidFill>
                <a:srgbClr val="00539B"/>
              </a:solidFill>
              <a:ln w="9525" cap="flat" cmpd="sng" algn="ctr">
                <a:solidFill>
                  <a:srgbClr val="00539B"/>
                </a:solidFill>
                <a:prstDash val="solid"/>
                <a:round/>
              </a:ln>
              <a:effectLst/>
            </c:spPr>
          </c:marker>
          <c:dLbls>
            <c:dLbl>
              <c:idx val="90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74-491E-AE62-18F78779E9A8}"/>
                </c:ext>
              </c:extLst>
            </c:dLbl>
            <c:dLbl>
              <c:idx val="90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74-491E-AE62-18F78779E9A8}"/>
                </c:ext>
              </c:extLst>
            </c:dLbl>
            <c:spPr>
              <a:noFill/>
              <a:ln>
                <a:noFill/>
              </a:ln>
              <a:effectLst/>
            </c:spPr>
            <c:txPr>
              <a:bodyPr rot="-5400000" spcFirstLastPara="1" vertOverflow="ellipsis"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45748</c:v>
                </c:pt>
              </c:numCache>
            </c:numRef>
          </c:cat>
          <c:val>
            <c:numRef>
              <c:extLst>
                <c:ext xmlns:c15="http://schemas.microsoft.com/office/drawing/2012/chart" uri="{02D57815-91ED-43cb-92C2-25804820EDAC}">
                  <c15:fullRef>
                    <c15:sqref>'IV.3.7. Rent. nom. de los FP'!$B$6:$B$41</c15:sqref>
                  </c15:fullRef>
                </c:ext>
              </c:extLst>
              <c:f>('IV.3.7. Rent. nom. de los FP'!$B$6:$B$19,'IV.3.7. Rent. nom. de los FP'!$B$21,'IV.3.7. Rent. nom. de los FP'!$B$23,'IV.3.7. Rent. nom. de los FP'!$B$25,'IV.3.7. Rent. nom. de los FP'!$B$27,'IV.3.7. Rent. nom. de los FP'!$B$29:$B$41)</c:f>
              <c:numCache>
                <c:formatCode>0.00%</c:formatCode>
                <c:ptCount val="11"/>
                <c:pt idx="0">
                  <c:v>0.10699132529452618</c:v>
                </c:pt>
                <c:pt idx="1">
                  <c:v>9.8297349429762718E-2</c:v>
                </c:pt>
                <c:pt idx="2">
                  <c:v>0.1082</c:v>
                </c:pt>
                <c:pt idx="3">
                  <c:v>7.7600000000000002E-2</c:v>
                </c:pt>
                <c:pt idx="4">
                  <c:v>0.10809646211624585</c:v>
                </c:pt>
                <c:pt idx="5">
                  <c:v>0.1028</c:v>
                </c:pt>
                <c:pt idx="6">
                  <c:v>0.1215</c:v>
                </c:pt>
                <c:pt idx="7">
                  <c:v>5.5199999999999999E-2</c:v>
                </c:pt>
                <c:pt idx="8">
                  <c:v>8.7400000000000005E-2</c:v>
                </c:pt>
                <c:pt idx="9">
                  <c:v>9.9900000000000003E-2</c:v>
                </c:pt>
                <c:pt idx="10">
                  <c:v>9.4E-2</c:v>
                </c:pt>
              </c:numCache>
            </c:numRef>
          </c:val>
          <c:smooth val="0"/>
          <c:extLst>
            <c:ext xmlns:c16="http://schemas.microsoft.com/office/drawing/2014/chart" uri="{C3380CC4-5D6E-409C-BE32-E72D297353CC}">
              <c16:uniqueId val="{00000002-BF74-491E-AE62-18F78779E9A8}"/>
            </c:ext>
          </c:extLst>
        </c:ser>
        <c:ser>
          <c:idx val="1"/>
          <c:order val="1"/>
          <c:tx>
            <c:strRef>
              <c:f>'IV.3.7. Rent. nom. de los FP'!$C$5</c:f>
              <c:strCache>
                <c:ptCount val="1"/>
                <c:pt idx="0">
                  <c:v>Promedio Sistema</c:v>
                </c:pt>
              </c:strCache>
            </c:strRef>
          </c:tx>
          <c:spPr>
            <a:ln w="63500" cap="rnd" cmpd="sng" algn="ctr">
              <a:solidFill>
                <a:srgbClr val="00A94F"/>
              </a:solidFill>
              <a:prstDash val="solid"/>
              <a:round/>
            </a:ln>
            <a:effectLst/>
          </c:spPr>
          <c:marker>
            <c:symbol val="circle"/>
            <c:size val="41"/>
            <c:spPr>
              <a:solidFill>
                <a:srgbClr val="00A94F"/>
              </a:solidFill>
              <a:ln w="9525" cap="flat" cmpd="sng" algn="ctr">
                <a:solidFill>
                  <a:srgbClr val="00539B"/>
                </a:solidFill>
                <a:prstDash val="solid"/>
                <a:round/>
              </a:ln>
              <a:effectLst/>
            </c:spPr>
          </c:marker>
          <c:dLbls>
            <c:dLbl>
              <c:idx val="90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74-491E-AE62-18F78779E9A8}"/>
                </c:ext>
              </c:extLst>
            </c:dLbl>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45748</c:v>
                </c:pt>
              </c:numCache>
            </c:numRef>
          </c:cat>
          <c:val>
            <c:numRef>
              <c:extLst>
                <c:ext xmlns:c15="http://schemas.microsoft.com/office/drawing/2012/chart" uri="{02D57815-91ED-43cb-92C2-25804820EDAC}">
                  <c15:fullRef>
                    <c15:sqref>'IV.3.7. Rent. nom. de los FP'!$C$6:$C$41</c15:sqref>
                  </c15:fullRef>
                </c:ext>
              </c:extLst>
              <c:f>('IV.3.7. Rent. nom. de los FP'!$C$6:$C$19,'IV.3.7. Rent. nom. de los FP'!$C$21,'IV.3.7. Rent. nom. de los FP'!$C$23,'IV.3.7. Rent. nom. de los FP'!$C$25,'IV.3.7. Rent. nom. de los FP'!$C$27,'IV.3.7. Rent. nom. de los FP'!$C$29:$C$41)</c:f>
              <c:numCache>
                <c:formatCode>0.00%</c:formatCode>
                <c:ptCount val="11"/>
                <c:pt idx="0">
                  <c:v>0.11080081164274938</c:v>
                </c:pt>
                <c:pt idx="1">
                  <c:v>0.10235589284546419</c:v>
                </c:pt>
                <c:pt idx="2">
                  <c:v>0.11070000000000001</c:v>
                </c:pt>
                <c:pt idx="3">
                  <c:v>8.2600000000000007E-2</c:v>
                </c:pt>
                <c:pt idx="4">
                  <c:v>0.10823910973861361</c:v>
                </c:pt>
                <c:pt idx="5">
                  <c:v>0.1021</c:v>
                </c:pt>
                <c:pt idx="6">
                  <c:v>0.12</c:v>
                </c:pt>
                <c:pt idx="7">
                  <c:v>6.0999999999999999E-2</c:v>
                </c:pt>
                <c:pt idx="8">
                  <c:v>8.8999999999999996E-2</c:v>
                </c:pt>
                <c:pt idx="9">
                  <c:v>0.1</c:v>
                </c:pt>
                <c:pt idx="10">
                  <c:v>9.6000000000000002E-2</c:v>
                </c:pt>
              </c:numCache>
            </c:numRef>
          </c:val>
          <c:smooth val="0"/>
          <c:extLst>
            <c:ext xmlns:c16="http://schemas.microsoft.com/office/drawing/2014/chart" uri="{C3380CC4-5D6E-409C-BE32-E72D297353CC}">
              <c16:uniqueId val="{00000004-BF74-491E-AE62-18F78779E9A8}"/>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21346248190938749"/>
          <c:y val="0.10456108480145759"/>
          <c:w val="0.55700754695382704"/>
          <c:h val="8.5482952052780628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Dispersión a las Administradora de Riesgos de Salud (ARS) </a:t>
            </a:r>
          </a:p>
        </c:rich>
      </c:tx>
      <c:layout>
        <c:manualLayout>
          <c:xMode val="edge"/>
          <c:yMode val="edge"/>
          <c:x val="0.11933397137512507"/>
          <c:y val="3.2842689018711374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3185767942800253"/>
          <c:y val="0.27471118025569385"/>
          <c:w val="0.85009524342316889"/>
          <c:h val="0.25811679790026248"/>
        </c:manualLayout>
      </c:layout>
      <c:barChart>
        <c:barDir val="col"/>
        <c:grouping val="clustered"/>
        <c:varyColors val="0"/>
        <c:ser>
          <c:idx val="0"/>
          <c:order val="0"/>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'IV.2.4.Pagos x ARS'!$B$5:$B$21</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ARS'!$D$5:$D$21</c:f>
              <c:numCache>
                <c:formatCode>_(* #,##0.00_);_(* \(#,##0.00\);_(* "-"??_);_(@_)</c:formatCode>
                <c:ptCount val="17"/>
                <c:pt idx="0">
                  <c:v>7898982677.7200003</c:v>
                </c:pt>
                <c:pt idx="1">
                  <c:v>12204346038.09</c:v>
                </c:pt>
                <c:pt idx="2">
                  <c:v>3365590021.23</c:v>
                </c:pt>
                <c:pt idx="3">
                  <c:v>1784407976</c:v>
                </c:pt>
                <c:pt idx="4">
                  <c:v>975052504.16999996</c:v>
                </c:pt>
                <c:pt idx="5">
                  <c:v>2286130061.0799999</c:v>
                </c:pt>
                <c:pt idx="6">
                  <c:v>568222027.25</c:v>
                </c:pt>
                <c:pt idx="7">
                  <c:v>531564283.54000002</c:v>
                </c:pt>
                <c:pt idx="8">
                  <c:v>796691715.95000005</c:v>
                </c:pt>
                <c:pt idx="9">
                  <c:v>765821553.09000003</c:v>
                </c:pt>
                <c:pt idx="10">
                  <c:v>585935000.46000004</c:v>
                </c:pt>
                <c:pt idx="11">
                  <c:v>142550007.87</c:v>
                </c:pt>
                <c:pt idx="12">
                  <c:v>171135577.59999999</c:v>
                </c:pt>
                <c:pt idx="13">
                  <c:v>353305327.04000002</c:v>
                </c:pt>
                <c:pt idx="14">
                  <c:v>254730852.94999999</c:v>
                </c:pt>
                <c:pt idx="15">
                  <c:v>361353193.30000001</c:v>
                </c:pt>
                <c:pt idx="16">
                  <c:v>52782248.979999997</c:v>
                </c:pt>
              </c:numCache>
            </c:numRef>
          </c:val>
          <c:extLst>
            <c:ext xmlns:c16="http://schemas.microsoft.com/office/drawing/2014/chart" uri="{C3380CC4-5D6E-409C-BE32-E72D297353CC}">
              <c16:uniqueId val="{00000000-E266-4D1F-861A-9597A8B419FE}"/>
            </c:ext>
          </c:extLst>
        </c:ser>
        <c:dLbls>
          <c:showLegendKey val="0"/>
          <c:showVal val="0"/>
          <c:showCatName val="0"/>
          <c:showSerName val="0"/>
          <c:showPercent val="0"/>
          <c:showBubbleSize val="0"/>
        </c:dLbls>
        <c:gapWidth val="63"/>
        <c:axId val="342499887"/>
        <c:axId val="342506959"/>
      </c:barChart>
      <c:catAx>
        <c:axId val="34249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42506959"/>
        <c:crosses val="autoZero"/>
        <c:auto val="1"/>
        <c:lblAlgn val="ctr"/>
        <c:lblOffset val="100"/>
        <c:noMultiLvlLbl val="0"/>
      </c:catAx>
      <c:valAx>
        <c:axId val="342506959"/>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342499887"/>
        <c:crosses val="autoZero"/>
        <c:crossBetween val="between"/>
        <c:dispUnits>
          <c:builtInUnit val="billions"/>
          <c:dispUnitsLbl>
            <c:layout>
              <c:manualLayout>
                <c:xMode val="edge"/>
                <c:yMode val="edge"/>
                <c:x val="4.4323885424200661E-2"/>
                <c:y val="0.28708430922055422"/>
              </c:manualLayout>
            </c:layout>
            <c:spPr>
              <a:noFill/>
              <a:ln>
                <a:noFill/>
              </a:ln>
              <a:effectLst/>
            </c:spPr>
            <c:txPr>
              <a:bodyPr rot="-5400000" spcFirstLastPara="1" vertOverflow="ellipsis" vert="horz" wrap="square" anchor="ctr" anchorCtr="1"/>
              <a:lstStyle/>
              <a:p>
                <a:pPr>
                  <a:defRPr sz="4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ispUnitsLbl>
        </c:dispUnits>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Evolución Histórica de Afiliados y Cotizantes del SVDS</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4404482132041191E-2"/>
          <c:y val="0.31963646069665025"/>
          <c:w val="0.9192409852614577"/>
          <c:h val="0.45030116998087105"/>
        </c:manualLayout>
      </c:layout>
      <c:barChart>
        <c:barDir val="col"/>
        <c:grouping val="clustered"/>
        <c:varyColors val="0"/>
        <c:ser>
          <c:idx val="0"/>
          <c:order val="0"/>
          <c:tx>
            <c:strRef>
              <c:f>'III.5.3.Afil. SVDS'!$B$4</c:f>
              <c:strCache>
                <c:ptCount val="1"/>
                <c:pt idx="0">
                  <c:v>Cotizantes</c:v>
                </c:pt>
              </c:strCache>
            </c:strRef>
          </c:tx>
          <c:spPr>
            <a:solidFill>
              <a:srgbClr val="00539B"/>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Abr.2025</c:v>
                </c:pt>
              </c:strCache>
            </c:strRef>
          </c:cat>
          <c:val>
            <c:numRef>
              <c:extLst>
                <c:ext xmlns:c15="http://schemas.microsoft.com/office/drawing/2012/chart" uri="{02D57815-91ED-43cb-92C2-25804820EDAC}">
                  <c15:fullRef>
                    <c15:sqref>'III.5.3.Afil. SVDS'!$B$5:$B$22</c15:sqref>
                  </c15:fullRef>
                </c:ext>
              </c:extLst>
              <c:f>'III.5.3.Afil. SVDS'!$B$12:$B$22</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2226931</c:v>
                </c:pt>
              </c:numCache>
            </c:numRef>
          </c:val>
          <c:extLst>
            <c:ext xmlns:c16="http://schemas.microsoft.com/office/drawing/2014/chart" uri="{C3380CC4-5D6E-409C-BE32-E72D297353CC}">
              <c16:uniqueId val="{00000000-2B0C-4584-9EF1-3A3347EE3241}"/>
            </c:ext>
          </c:extLst>
        </c:ser>
        <c:ser>
          <c:idx val="1"/>
          <c:order val="1"/>
          <c:tx>
            <c:strRef>
              <c:f>'III.5.3.Afil. SVDS'!$C$4</c:f>
              <c:strCache>
                <c:ptCount val="1"/>
                <c:pt idx="0">
                  <c:v>Afiliados </c:v>
                </c:pt>
              </c:strCache>
            </c:strRef>
          </c:tx>
          <c:spPr>
            <a:solidFill>
              <a:srgbClr val="00A94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Abr.2025</c:v>
                </c:pt>
              </c:strCache>
            </c:strRef>
          </c:cat>
          <c:val>
            <c:numRef>
              <c:extLst>
                <c:ext xmlns:c15="http://schemas.microsoft.com/office/drawing/2012/chart" uri="{02D57815-91ED-43cb-92C2-25804820EDAC}">
                  <c15:fullRef>
                    <c15:sqref>'III.5.3.Afil. SVDS'!$C$5:$C$22</c15:sqref>
                  </c15:fullRef>
                </c:ext>
              </c:extLst>
              <c:f>'III.5.3.Afil. SVDS'!$C$12:$C$22</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5392563</c:v>
                </c:pt>
              </c:numCache>
            </c:numRef>
          </c:val>
          <c:extLst>
            <c:ext xmlns:c16="http://schemas.microsoft.com/office/drawing/2014/chart" uri="{C3380CC4-5D6E-409C-BE32-E72D297353CC}">
              <c16:uniqueId val="{00000001-2B0C-4584-9EF1-3A3347EE3241}"/>
            </c:ext>
          </c:extLst>
        </c:ser>
        <c:dLbls>
          <c:showLegendKey val="0"/>
          <c:showVal val="0"/>
          <c:showCatName val="0"/>
          <c:showSerName val="0"/>
          <c:showPercent val="0"/>
          <c:showBubbleSize val="0"/>
        </c:dLbls>
        <c:gapWidth val="70"/>
        <c:overlap val="4"/>
        <c:axId val="605987488"/>
        <c:axId val="605987904"/>
      </c:barChart>
      <c:catAx>
        <c:axId val="605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05987904"/>
        <c:crosses val="autoZero"/>
        <c:auto val="1"/>
        <c:lblAlgn val="ctr"/>
        <c:lblOffset val="100"/>
        <c:noMultiLvlLbl val="0"/>
      </c:catAx>
      <c:valAx>
        <c:axId val="605987904"/>
        <c:scaling>
          <c:orientation val="minMax"/>
        </c:scaling>
        <c:delete val="1"/>
        <c:axPos val="l"/>
        <c:numFmt formatCode="#,##0" sourceLinked="1"/>
        <c:majorTickMark val="none"/>
        <c:minorTickMark val="none"/>
        <c:tickLblPos val="nextTo"/>
        <c:crossAx val="605987488"/>
        <c:crosses val="autoZero"/>
        <c:crossBetween val="between"/>
      </c:valAx>
      <c:spPr>
        <a:noFill/>
        <a:ln>
          <a:noFill/>
        </a:ln>
        <a:effectLst/>
      </c:spPr>
    </c:plotArea>
    <c:legend>
      <c:legendPos val="b"/>
      <c:layout>
        <c:manualLayout>
          <c:xMode val="edge"/>
          <c:yMode val="edge"/>
          <c:x val="0.26360694415530872"/>
          <c:y val="0.10440193682686216"/>
          <c:w val="0.46374450079861013"/>
          <c:h val="6.155795559338866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7511532131472635E-2"/>
          <c:y val="9.6080377412630494E-2"/>
          <c:w val="0.97400474836910944"/>
          <c:h val="0.66374847034795892"/>
        </c:manualLayout>
      </c:layout>
      <c:lineChart>
        <c:grouping val="stacked"/>
        <c:varyColors val="0"/>
        <c:ser>
          <c:idx val="0"/>
          <c:order val="0"/>
          <c:tx>
            <c:strRef>
              <c:f>'II.3. Empl x sector '!$L$4</c:f>
              <c:strCache>
                <c:ptCount val="1"/>
                <c:pt idx="0">
                  <c:v> Relación Promedio Empleados / Empresas </c:v>
                </c:pt>
              </c:strCache>
            </c:strRef>
          </c:tx>
          <c:spPr>
            <a:ln w="44450" cap="rnd">
              <a:solidFill>
                <a:schemeClr val="accent5"/>
              </a:solidFill>
              <a:round/>
            </a:ln>
            <a:effectLst/>
          </c:spPr>
          <c:marker>
            <c:symbol val="circle"/>
            <c:size val="33"/>
            <c:spPr>
              <a:solidFill>
                <a:srgbClr val="00539B"/>
              </a:solidFill>
              <a:ln w="44450">
                <a:solidFill>
                  <a:schemeClr val="accent5"/>
                </a:solidFill>
              </a:ln>
              <a:effectLst/>
            </c:spPr>
          </c:marker>
          <c:dLbls>
            <c:dLbl>
              <c:idx val="5"/>
              <c:layout>
                <c:manualLayout>
                  <c:x val="-5.4867383512544804E-2"/>
                  <c:y val="3.6594202898550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D3-4C53-8BAE-6F8022536747}"/>
                </c:ext>
              </c:extLst>
            </c:dLbl>
            <c:dLbl>
              <c:idx val="6"/>
              <c:layout>
                <c:manualLayout>
                  <c:x val="-6.3469534050179216E-2"/>
                  <c:y val="-6.4855072463768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D3-4C53-8BAE-6F8022536747}"/>
                </c:ext>
              </c:extLst>
            </c:dLbl>
            <c:numFmt formatCode="#,##0.00" sourceLinked="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'!$A$5:$A$23</c15:sqref>
                  </c15:fullRef>
                </c:ext>
              </c:extLst>
              <c:f>'II.3. Empl x sector '!$A$12:$A$22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Abr.25 </c:v>
                </c:pt>
              </c:strCache>
            </c:strRef>
          </c:cat>
          <c:val>
            <c:numRef>
              <c:extLst>
                <c:ext xmlns:c15="http://schemas.microsoft.com/office/drawing/2012/chart" uri="{02D57815-91ED-43cb-92C2-25804820EDAC}">
                  <c15:fullRef>
                    <c15:sqref>'II.3. Empl x sector '!$L$5:$L$23</c15:sqref>
                  </c15:fullRef>
                </c:ext>
              </c:extLst>
              <c:f>'II.3. Empl x sector '!$L$12:$L$22</c:f>
              <c:numCache>
                <c:formatCode>_(* #,##0.00_);_(* \(#,##0.00\);_(* "-"??_);_(@_)</c:formatCode>
                <c:ptCount val="11"/>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pt idx="9">
                  <c:v>22.701799509060717</c:v>
                </c:pt>
                <c:pt idx="10">
                  <c:v>22.754381746286203</c:v>
                </c:pt>
              </c:numCache>
            </c:numRef>
          </c:val>
          <c:smooth val="0"/>
          <c:extLst>
            <c:ext xmlns:c16="http://schemas.microsoft.com/office/drawing/2014/chart" uri="{C3380CC4-5D6E-409C-BE32-E72D297353CC}">
              <c16:uniqueId val="{00000000-E113-46B6-832E-1B96D106053B}"/>
            </c:ext>
          </c:extLst>
        </c:ser>
        <c:dLbls>
          <c:showLegendKey val="0"/>
          <c:showVal val="0"/>
          <c:showCatName val="0"/>
          <c:showSerName val="0"/>
          <c:showPercent val="0"/>
          <c:showBubbleSize val="0"/>
        </c:dLbls>
        <c:marker val="1"/>
        <c:smooth val="0"/>
        <c:axId val="796701936"/>
        <c:axId val="796702768"/>
      </c:lineChart>
      <c:catAx>
        <c:axId val="79670193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96702768"/>
        <c:crosses val="autoZero"/>
        <c:auto val="1"/>
        <c:lblAlgn val="ctr"/>
        <c:lblOffset val="100"/>
        <c:noMultiLvlLbl val="0"/>
      </c:catAx>
      <c:valAx>
        <c:axId val="796702768"/>
        <c:scaling>
          <c:orientation val="minMax"/>
        </c:scaling>
        <c:delete val="0"/>
        <c:axPos val="l"/>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796701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i="0" baseline="0">
                <a:solidFill>
                  <a:sysClr val="windowText" lastClr="000000"/>
                </a:solidFill>
                <a:effectLst/>
              </a:rPr>
              <a:t>Cantidad de Pensiones por Tipo de Beneficios del SVDS </a:t>
            </a:r>
            <a:endParaRPr lang="es-DO" sz="4000">
              <a:solidFill>
                <a:sysClr val="windowText" lastClr="000000"/>
              </a:solidFill>
              <a:effectLst/>
            </a:endParaRPr>
          </a:p>
        </c:rich>
      </c:tx>
      <c:layout>
        <c:manualLayout>
          <c:xMode val="edge"/>
          <c:yMode val="edge"/>
          <c:x val="0.1807619638298637"/>
          <c:y val="5.3763440860215055E-2"/>
        </c:manualLayout>
      </c:layout>
      <c:overlay val="0"/>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5.4388954805306873E-2"/>
          <c:y val="0.17193923930240429"/>
          <c:w val="0.90969899665551834"/>
          <c:h val="0.68386035908858001"/>
        </c:manualLayout>
      </c:layout>
      <c:barChart>
        <c:barDir val="col"/>
        <c:grouping val="clustered"/>
        <c:varyColors val="0"/>
        <c:ser>
          <c:idx val="0"/>
          <c:order val="0"/>
          <c:spPr>
            <a:solidFill>
              <a:srgbClr val="00539B"/>
            </a:solidFill>
            <a:ln>
              <a:noFill/>
            </a:ln>
            <a:effectLst/>
          </c:spPr>
          <c:invertIfNegative val="0"/>
          <c:dLbls>
            <c:dLbl>
              <c:idx val="0"/>
              <c:tx>
                <c:rich>
                  <a:bodyPr/>
                  <a:lstStyle/>
                  <a:p>
                    <a:r>
                      <a:rPr lang="en-US"/>
                      <a:t>18,413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FFF-4D0D-999A-0E48B4BBDCAF}"/>
                </c:ext>
              </c:extLst>
            </c:dLbl>
            <c:dLbl>
              <c:idx val="1"/>
              <c:tx>
                <c:rich>
                  <a:bodyPr/>
                  <a:lstStyle/>
                  <a:p>
                    <a:r>
                      <a:rPr lang="en-US"/>
                      <a:t>16,262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FFF-4D0D-999A-0E48B4BBDCAF}"/>
                </c:ext>
              </c:extLst>
            </c:dLbl>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'V.3.2 Pensiones por año'!$B$5:$D$5</c:f>
              <c:strCache>
                <c:ptCount val="3"/>
                <c:pt idx="0">
                  <c:v>Discapacidad</c:v>
                </c:pt>
                <c:pt idx="1">
                  <c:v>Sobrevivencia</c:v>
                </c:pt>
                <c:pt idx="2">
                  <c:v> Retiro Programado </c:v>
                </c:pt>
              </c:strCache>
            </c:strRef>
          </c:cat>
          <c:val>
            <c:numRef>
              <c:f>'V.3.2 Pensiones por año'!$B$25:$D$25</c:f>
              <c:numCache>
                <c:formatCode>#,##0</c:formatCode>
                <c:ptCount val="3"/>
                <c:pt idx="0">
                  <c:v>18413</c:v>
                </c:pt>
                <c:pt idx="1">
                  <c:v>16262</c:v>
                </c:pt>
                <c:pt idx="2">
                  <c:v>78</c:v>
                </c:pt>
              </c:numCache>
            </c:numRef>
          </c:val>
          <c:extLst>
            <c:ext xmlns:c16="http://schemas.microsoft.com/office/drawing/2014/chart" uri="{C3380CC4-5D6E-409C-BE32-E72D297353CC}">
              <c16:uniqueId val="{00000000-F785-4A77-A0D3-59282DC3F99D}"/>
            </c:ext>
          </c:extLst>
        </c:ser>
        <c:dLbls>
          <c:showLegendKey val="0"/>
          <c:showVal val="0"/>
          <c:showCatName val="0"/>
          <c:showSerName val="0"/>
          <c:showPercent val="0"/>
          <c:showBubbleSize val="0"/>
        </c:dLbls>
        <c:gapWidth val="124"/>
        <c:overlap val="-27"/>
        <c:axId val="470345968"/>
        <c:axId val="470353040"/>
      </c:barChart>
      <c:catAx>
        <c:axId val="47034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70353040"/>
        <c:crosses val="autoZero"/>
        <c:auto val="1"/>
        <c:lblAlgn val="ctr"/>
        <c:lblOffset val="100"/>
        <c:noMultiLvlLbl val="0"/>
      </c:catAx>
      <c:valAx>
        <c:axId val="470353040"/>
        <c:scaling>
          <c:orientation val="minMax"/>
        </c:scaling>
        <c:delete val="1"/>
        <c:axPos val="l"/>
        <c:numFmt formatCode="#,##0" sourceLinked="1"/>
        <c:majorTickMark val="none"/>
        <c:minorTickMark val="none"/>
        <c:tickLblPos val="nextTo"/>
        <c:crossAx val="470345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solidFill>
                  <a:sysClr val="windowText" lastClr="000000"/>
                </a:solidFill>
              </a:rPr>
              <a:t>Afiliación al SRL por Grupo de Edad y Género</a:t>
            </a:r>
          </a:p>
        </c:rich>
      </c:tx>
      <c:layout>
        <c:manualLayout>
          <c:xMode val="edge"/>
          <c:yMode val="edge"/>
          <c:x val="0.20458197906608824"/>
          <c:y val="1.3551827760660353E-2"/>
        </c:manualLayout>
      </c:layout>
      <c:overlay val="0"/>
      <c:spPr>
        <a:noFill/>
        <a:ln>
          <a:noFill/>
        </a:ln>
        <a:effectLst/>
      </c:spPr>
      <c:txPr>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8.3064134972058376E-2"/>
          <c:y val="0.20289467445601558"/>
          <c:w val="0.90070870803671743"/>
          <c:h val="0.74861942257217851"/>
        </c:manualLayout>
      </c:layout>
      <c:barChart>
        <c:barDir val="bar"/>
        <c:grouping val="stacked"/>
        <c:varyColors val="0"/>
        <c:ser>
          <c:idx val="1"/>
          <c:order val="0"/>
          <c:tx>
            <c:strRef>
              <c:f>'III.6.4.Afil. SRL x sexoy edad'!$D$32</c:f>
              <c:strCache>
                <c:ptCount val="1"/>
                <c:pt idx="0">
                  <c:v> Mujeres </c:v>
                </c:pt>
              </c:strCache>
            </c:strRef>
          </c:tx>
          <c:spPr>
            <a:solidFill>
              <a:srgbClr val="FF00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37E-4800-9E41-71C7F233E6F3}"/>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7E-4800-9E41-71C7F233E6F3}"/>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37E-4800-9E41-71C7F233E6F3}"/>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7E-4800-9E41-71C7F233E6F3}"/>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37E-4800-9E41-71C7F233E6F3}"/>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7E-4800-9E41-71C7F233E6F3}"/>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37E-4800-9E41-71C7F233E6F3}"/>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37E-4800-9E41-71C7F233E6F3}"/>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37E-4800-9E41-71C7F233E6F3}"/>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37E-4800-9E41-71C7F233E6F3}"/>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37E-4800-9E41-71C7F233E6F3}"/>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37E-4800-9E41-71C7F233E6F3}"/>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37E-4800-9E41-71C7F233E6F3}"/>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37E-4800-9E41-71C7F233E6F3}"/>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37E-4800-9E41-71C7F233E6F3}"/>
                </c:ext>
              </c:extLst>
            </c:dLbl>
            <c:numFmt formatCode="#,##0;[Black]#,##0" sourceLinked="0"/>
            <c:spPr>
              <a:noFill/>
              <a:ln>
                <a:noFill/>
              </a:ln>
              <a:effectLst/>
            </c:spPr>
            <c:txPr>
              <a:bodyPr rot="0" spcFirstLastPara="1" vertOverflow="ellipsis" vert="horz" wrap="square" anchor="ctr" anchorCtr="1"/>
              <a:lstStyle/>
              <a:p>
                <a:pPr>
                  <a:defRPr sz="3200" b="0" i="0" u="none" strike="noStrike" kern="1200" baseline="0">
                    <a:solidFill>
                      <a:schemeClr val="lt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-18440</c:v>
                </c:pt>
                <c:pt idx="1">
                  <c:v>-138670</c:v>
                </c:pt>
                <c:pt idx="2">
                  <c:v>-184317</c:v>
                </c:pt>
                <c:pt idx="3">
                  <c:v>-193641</c:v>
                </c:pt>
                <c:pt idx="4">
                  <c:v>-163757</c:v>
                </c:pt>
                <c:pt idx="5">
                  <c:v>-139015</c:v>
                </c:pt>
                <c:pt idx="6">
                  <c:v>-114413</c:v>
                </c:pt>
                <c:pt idx="7">
                  <c:v>-88065</c:v>
                </c:pt>
                <c:pt idx="8">
                  <c:v>-67948</c:v>
                </c:pt>
                <c:pt idx="9">
                  <c:v>-43495</c:v>
                </c:pt>
                <c:pt idx="10">
                  <c:v>-23305</c:v>
                </c:pt>
                <c:pt idx="11">
                  <c:v>-12406</c:v>
                </c:pt>
                <c:pt idx="12">
                  <c:v>-6401</c:v>
                </c:pt>
                <c:pt idx="13">
                  <c:v>-2839</c:v>
                </c:pt>
                <c:pt idx="14">
                  <c:v>-2061</c:v>
                </c:pt>
              </c:numCache>
            </c:numRef>
          </c:val>
          <c:extLst>
            <c:ext xmlns:c16="http://schemas.microsoft.com/office/drawing/2014/chart" uri="{C3380CC4-5D6E-409C-BE32-E72D297353CC}">
              <c16:uniqueId val="{0000001F-D37E-4800-9E41-71C7F233E6F3}"/>
            </c:ext>
          </c:extLst>
        </c:ser>
        <c:ser>
          <c:idx val="0"/>
          <c:order val="1"/>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7E-4800-9E41-71C7F233E6F3}"/>
                </c:ext>
              </c:extLst>
            </c:dLbl>
            <c:dLbl>
              <c:idx val="1"/>
              <c:layout>
                <c:manualLayout>
                  <c:x val="0.19716126634613151"/>
                  <c:y val="4.69799501899323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7E-4800-9E41-71C7F233E6F3}"/>
                </c:ext>
              </c:extLst>
            </c:dLbl>
            <c:dLbl>
              <c:idx val="2"/>
              <c:layout>
                <c:manualLayout>
                  <c:x val="0.21454751120711682"/>
                  <c:y val="1.15519106437558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7E-4800-9E41-71C7F233E6F3}"/>
                </c:ext>
              </c:extLst>
            </c:dLbl>
            <c:dLbl>
              <c:idx val="3"/>
              <c:layout>
                <c:manualLayout>
                  <c:x val="0.22669105521101898"/>
                  <c:y val="1.155191064375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7E-4800-9E41-71C7F233E6F3}"/>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7E-4800-9E41-71C7F233E6F3}"/>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7E-4800-9E41-71C7F233E6F3}"/>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7E-4800-9E41-71C7F233E6F3}"/>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7E-4800-9E41-71C7F233E6F3}"/>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7E-4800-9E41-71C7F233E6F3}"/>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7E-4800-9E41-71C7F233E6F3}"/>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7E-4800-9E41-71C7F233E6F3}"/>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7E-4800-9E41-71C7F233E6F3}"/>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7E-4800-9E41-71C7F233E6F3}"/>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7E-4800-9E41-71C7F233E6F3}"/>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7E-4800-9E41-71C7F233E6F3}"/>
                </c:ext>
              </c:extLst>
            </c:dLbl>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26970</c:v>
                </c:pt>
                <c:pt idx="1">
                  <c:v>161086</c:v>
                </c:pt>
                <c:pt idx="2">
                  <c:v>194282</c:v>
                </c:pt>
                <c:pt idx="3">
                  <c:v>201158</c:v>
                </c:pt>
                <c:pt idx="4">
                  <c:v>172301</c:v>
                </c:pt>
                <c:pt idx="5">
                  <c:v>149069</c:v>
                </c:pt>
                <c:pt idx="6">
                  <c:v>131248</c:v>
                </c:pt>
                <c:pt idx="7">
                  <c:v>106962</c:v>
                </c:pt>
                <c:pt idx="8">
                  <c:v>85540</c:v>
                </c:pt>
                <c:pt idx="9">
                  <c:v>57750</c:v>
                </c:pt>
                <c:pt idx="10">
                  <c:v>34674</c:v>
                </c:pt>
                <c:pt idx="11">
                  <c:v>19416</c:v>
                </c:pt>
                <c:pt idx="12">
                  <c:v>9318</c:v>
                </c:pt>
                <c:pt idx="13">
                  <c:v>3863</c:v>
                </c:pt>
                <c:pt idx="14">
                  <c:v>2542</c:v>
                </c:pt>
              </c:numCache>
            </c:numRef>
          </c:val>
          <c:extLst>
            <c:ext xmlns:c16="http://schemas.microsoft.com/office/drawing/2014/chart" uri="{C3380CC4-5D6E-409C-BE32-E72D297353CC}">
              <c16:uniqueId val="{0000000F-D37E-4800-9E41-71C7F233E6F3}"/>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Red]#,##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7453045221199199"/>
          <c:y val="7.5290436351706042E-2"/>
          <c:w val="0.27128358070285463"/>
          <c:h val="7.8000050313199662E-2"/>
        </c:manualLayout>
      </c:layout>
      <c:overlay val="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3.1168291672980998E-2"/>
          <c:y val="4.9060846560846569E-2"/>
          <c:w val="0.9552781311431322"/>
          <c:h val="0.88999552139315918"/>
        </c:manualLayout>
      </c:layout>
      <c:barChart>
        <c:barDir val="col"/>
        <c:grouping val="clustered"/>
        <c:varyColors val="0"/>
        <c:ser>
          <c:idx val="0"/>
          <c:order val="0"/>
          <c:tx>
            <c:strRef>
              <c:f>'INFOGRAFIA V3'!$O$57</c:f>
              <c:strCache>
                <c:ptCount val="1"/>
                <c:pt idx="0">
                  <c:v>Cumplido</c:v>
                </c:pt>
              </c:strCache>
            </c:strRef>
          </c:tx>
          <c:spPr>
            <a:solidFill>
              <a:schemeClr val="accent1"/>
            </a:solidFill>
            <a:ln>
              <a:noFill/>
            </a:ln>
            <a:effectLst/>
          </c:spPr>
          <c:invertIfNegative val="0"/>
          <c:cat>
            <c:strRef>
              <c:f>'INFOGRAFIA V3'!$P$56:$Q$56</c:f>
              <c:strCache>
                <c:ptCount val="2"/>
                <c:pt idx="0">
                  <c:v>Hombre</c:v>
                </c:pt>
                <c:pt idx="1">
                  <c:v>Mujeres</c:v>
                </c:pt>
              </c:strCache>
            </c:strRef>
          </c:cat>
          <c:val>
            <c:numRef>
              <c:f>'INFOGRAFIA V3'!$P$57:$Q$57</c:f>
              <c:numCache>
                <c:formatCode>0.0%</c:formatCode>
                <c:ptCount val="2"/>
                <c:pt idx="0">
                  <c:v>0.49743056936772234</c:v>
                </c:pt>
                <c:pt idx="1">
                  <c:v>0.50256943063227766</c:v>
                </c:pt>
              </c:numCache>
            </c:numRef>
          </c:val>
          <c:extLst>
            <c:ext xmlns:c16="http://schemas.microsoft.com/office/drawing/2014/chart" uri="{C3380CC4-5D6E-409C-BE32-E72D297353CC}">
              <c16:uniqueId val="{00000000-5BD6-467A-8A68-F4A4296CEFFF}"/>
            </c:ext>
          </c:extLst>
        </c:ser>
        <c:ser>
          <c:idx val="1"/>
          <c:order val="1"/>
          <c:tx>
            <c:strRef>
              <c:f>'INFOGRAFIA V3'!$O$58</c:f>
              <c:strCache>
                <c:ptCount val="1"/>
                <c:pt idx="0">
                  <c:v>Meta</c:v>
                </c:pt>
              </c:strCache>
            </c:strRef>
          </c:tx>
          <c:spPr>
            <a:solidFill>
              <a:schemeClr val="accent2"/>
            </a:solidFill>
            <a:ln>
              <a:noFill/>
            </a:ln>
            <a:effectLst/>
          </c:spPr>
          <c:invertIfNegative val="0"/>
          <c:cat>
            <c:strRef>
              <c:f>'INFOGRAFIA V3'!$P$56:$Q$56</c:f>
              <c:strCache>
                <c:ptCount val="2"/>
                <c:pt idx="0">
                  <c:v>Hombre</c:v>
                </c:pt>
                <c:pt idx="1">
                  <c:v>Mujeres</c:v>
                </c:pt>
              </c:strCache>
            </c:strRef>
          </c:cat>
          <c:val>
            <c:numRef>
              <c:f>'INFOGRAFIA V3'!$P$58:$Q$58</c:f>
              <c:numCache>
                <c:formatCode>0.0%</c:formatCode>
                <c:ptCount val="2"/>
                <c:pt idx="0">
                  <c:v>1</c:v>
                </c:pt>
                <c:pt idx="1">
                  <c:v>1</c:v>
                </c:pt>
              </c:numCache>
            </c:numRef>
          </c:val>
          <c:extLst>
            <c:ext xmlns:c16="http://schemas.microsoft.com/office/drawing/2014/chart" uri="{C3380CC4-5D6E-409C-BE32-E72D297353CC}">
              <c16:uniqueId val="{00000001-5BD6-467A-8A68-F4A4296CEFFF}"/>
            </c:ext>
          </c:extLst>
        </c:ser>
        <c:dLbls>
          <c:showLegendKey val="0"/>
          <c:showVal val="0"/>
          <c:showCatName val="0"/>
          <c:showSerName val="0"/>
          <c:showPercent val="0"/>
          <c:showBubbleSize val="0"/>
        </c:dLbls>
        <c:gapWidth val="219"/>
        <c:overlap val="-27"/>
        <c:axId val="605959200"/>
        <c:axId val="605950880"/>
      </c:barChart>
      <c:catAx>
        <c:axId val="6059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0880"/>
        <c:crosses val="autoZero"/>
        <c:auto val="1"/>
        <c:lblAlgn val="ctr"/>
        <c:lblOffset val="100"/>
        <c:noMultiLvlLbl val="0"/>
      </c:catAx>
      <c:valAx>
        <c:axId val="60595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84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cap="none" baseline="0"/>
              <a:t>Distribución de las Inversiones de la  Cuenta Cuidado de la Salud por Instrumento</a:t>
            </a:r>
          </a:p>
        </c:rich>
      </c:tx>
      <c:layout>
        <c:manualLayout>
          <c:xMode val="edge"/>
          <c:yMode val="edge"/>
          <c:x val="0.14448483081029009"/>
          <c:y val="3.5488318058603335E-2"/>
        </c:manualLayout>
      </c:layout>
      <c:overlay val="0"/>
      <c:spPr>
        <a:noFill/>
        <a:ln>
          <a:noFill/>
        </a:ln>
        <a:effectLst/>
      </c:spPr>
      <c:txPr>
        <a:bodyPr rot="0" spcFirstLastPara="1" vertOverflow="ellipsis" vert="horz" wrap="square" anchor="ctr" anchorCtr="1"/>
        <a:lstStyle/>
        <a:p>
          <a:pPr>
            <a:defRPr sz="384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6344463886458633"/>
          <c:y val="0.20255682135477746"/>
          <c:w val="0.49843999929301774"/>
          <c:h val="0.71250600323895685"/>
        </c:manualLayout>
      </c:layout>
      <c:barChart>
        <c:barDir val="bar"/>
        <c:grouping val="clustered"/>
        <c:varyColors val="0"/>
        <c:ser>
          <c:idx val="0"/>
          <c:order val="0"/>
          <c:tx>
            <c:strRef>
              <c:f>'IV.2.7.INV_SFS x Entidad'!$B$4</c:f>
              <c:strCache>
                <c:ptCount val="1"/>
                <c:pt idx="0">
                  <c:v> Total Invertido</c:v>
                </c:pt>
              </c:strCache>
            </c:strRef>
          </c:tx>
          <c:spPr>
            <a:solidFill>
              <a:srgbClr val="00A94F"/>
            </a:solidFill>
            <a:ln>
              <a:noFill/>
            </a:ln>
            <a:effectLst>
              <a:outerShdw blurRad="63500" sx="102000" sy="102000" algn="ctr" rotWithShape="0">
                <a:prstClr val="black">
                  <a:alpha val="20000"/>
                </a:prstClr>
              </a:outerShdw>
            </a:effectLst>
          </c:spPr>
          <c:invertIfNegative val="0"/>
          <c:dPt>
            <c:idx val="0"/>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3AF-4771-9B99-A7ABD7EF64CD}"/>
              </c:ext>
            </c:extLst>
          </c:dPt>
          <c:dPt>
            <c:idx val="1"/>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3AF-4771-9B99-A7ABD7EF64CD}"/>
              </c:ext>
            </c:extLst>
          </c:dPt>
          <c:dPt>
            <c:idx val="2"/>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3AF-4771-9B99-A7ABD7EF64CD}"/>
              </c:ext>
            </c:extLst>
          </c:dPt>
          <c:dPt>
            <c:idx val="4"/>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83AF-4771-9B99-A7ABD7EF64CD}"/>
              </c:ext>
            </c:extLst>
          </c:dPt>
          <c:dPt>
            <c:idx val="5"/>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83AF-4771-9B99-A7ABD7EF64CD}"/>
              </c:ext>
            </c:extLst>
          </c:dPt>
          <c:dPt>
            <c:idx val="6"/>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83AF-4771-9B99-A7ABD7EF64CD}"/>
              </c:ext>
            </c:extLst>
          </c:dPt>
          <c:dLbls>
            <c:spPr>
              <a:noFill/>
              <a:ln>
                <a:noFill/>
              </a:ln>
              <a:effectLst/>
            </c:spPr>
            <c:txPr>
              <a:bodyPr rot="0" spcFirstLastPara="1" vertOverflow="ellipsis" vert="horz" wrap="square" lIns="38100" tIns="19050" rIns="38100" bIns="19050" anchor="ctr" anchorCtr="1">
                <a:spAutoFit/>
              </a:bodyPr>
              <a:lstStyle/>
              <a:p>
                <a:pPr>
                  <a:defRPr sz="3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1198918249.05</c:v>
                </c:pt>
                <c:pt idx="1">
                  <c:v>756526872.90999997</c:v>
                </c:pt>
                <c:pt idx="2">
                  <c:v>455000000</c:v>
                </c:pt>
              </c:numCache>
            </c:numRef>
          </c:val>
          <c:extLst>
            <c:ext xmlns:c16="http://schemas.microsoft.com/office/drawing/2014/chart" uri="{C3380CC4-5D6E-409C-BE32-E72D297353CC}">
              <c16:uniqueId val="{0000000E-83AF-4771-9B99-A7ABD7EF64CD}"/>
            </c:ext>
          </c:extLst>
        </c:ser>
        <c:dLbls>
          <c:showLegendKey val="0"/>
          <c:showVal val="0"/>
          <c:showCatName val="0"/>
          <c:showSerName val="0"/>
          <c:showPercent val="0"/>
          <c:showBubbleSize val="0"/>
        </c:dLbls>
        <c:gapWidth val="20"/>
        <c:overlap val="16"/>
        <c:axId val="1032695888"/>
        <c:axId val="1167040864"/>
      </c:barChart>
      <c:valAx>
        <c:axId val="1167040864"/>
        <c:scaling>
          <c:orientation val="minMax"/>
        </c:scaling>
        <c:delete val="1"/>
        <c:axPos val="b"/>
        <c:numFmt formatCode="_(* #,##0.00_);_(* \(#,##0.00\);_(* &quot;-&quot;??_);_(@_)" sourceLinked="1"/>
        <c:majorTickMark val="out"/>
        <c:minorTickMark val="none"/>
        <c:tickLblPos val="nextTo"/>
        <c:crossAx val="1032695888"/>
        <c:crosses val="autoZero"/>
        <c:crossBetween val="between"/>
      </c:valAx>
      <c:catAx>
        <c:axId val="103269588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16704086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Índice de Dependencia por Régimen de Financiamiento al SFS</a:t>
            </a:r>
          </a:p>
        </c:rich>
      </c:tx>
      <c:layout>
        <c:manualLayout>
          <c:xMode val="edge"/>
          <c:yMode val="edge"/>
          <c:x val="0.12199214601991545"/>
          <c:y val="2.5215463604897993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398631245860629E-2"/>
          <c:y val="0.37746602963692039"/>
          <c:w val="0.93475712607602368"/>
          <c:h val="0.2988243430152143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48"/>
            <c:spPr>
              <a:solidFill>
                <a:schemeClr val="bg1"/>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68-4BF7-B010-DA1D7E9BF603}"/>
                </c:ext>
              </c:extLst>
            </c:dLbl>
            <c:spPr>
              <a:noFill/>
              <a:ln>
                <a:noFill/>
              </a:ln>
              <a:effectLst/>
            </c:spPr>
            <c:txPr>
              <a:bodyPr rot="-5400000" spcFirstLastPara="1" vertOverflow="ellipsis"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'III.3.2. Afil anual SFS RS '!$H$5:$H$22</c15:sqref>
                  </c15:fullRef>
                </c:ext>
              </c:extLst>
              <c:f>'III.3.2. Afil anual SFS RS '!$H$12:$H$22</c:f>
              <c:numCache>
                <c:formatCode>_(* #,##0.00_);_(* \(#,##0.00\);_(* "-"??_);_(@_)</c:formatCode>
                <c:ptCount val="11"/>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0.18204006837978673</c:v>
                </c:pt>
                <c:pt idx="10">
                  <c:v>0.18130644780707048</c:v>
                </c:pt>
              </c:numCache>
            </c:numRef>
          </c:val>
          <c:smooth val="0"/>
          <c:extLst>
            <c:ext xmlns:c16="http://schemas.microsoft.com/office/drawing/2014/chart" uri="{C3380CC4-5D6E-409C-BE32-E72D297353CC}">
              <c16:uniqueId val="{00000001-1068-4BF7-B010-DA1D7E9BF603}"/>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48"/>
            <c:spPr>
              <a:solidFill>
                <a:schemeClr val="bg1"/>
              </a:solidFill>
              <a:ln w="9525">
                <a:solidFill>
                  <a:schemeClr val="accent5"/>
                </a:solidFill>
              </a:ln>
              <a:effectLst/>
            </c:spPr>
          </c:marker>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Abr.2025</c:v>
                </c:pt>
              </c:strCache>
            </c:strRef>
          </c:cat>
          <c:val>
            <c:numRef>
              <c:extLst>
                <c:ext xmlns:c15="http://schemas.microsoft.com/office/drawing/2012/chart" uri="{02D57815-91ED-43cb-92C2-25804820EDAC}">
                  <c15:fullRef>
                    <c15:sqref>'III.2.2. Afil. SFS RC Anual '!$I$5:$I$22</c15:sqref>
                  </c15:fullRef>
                </c:ext>
              </c:extLst>
              <c:f>'III.2.2. Afil. SFS RC Anual '!$I$12:$I$22</c:f>
              <c:numCache>
                <c:formatCode>_(* #,##0.00_);_(* \(#,##0.00\);_(* "-"??_);_(@_)</c:formatCode>
                <c:ptCount val="11"/>
                <c:pt idx="0">
                  <c:v>1.2065030251698892</c:v>
                </c:pt>
                <c:pt idx="1">
                  <c:v>1.2172961158754561</c:v>
                </c:pt>
                <c:pt idx="2">
                  <c:v>1.2097518964348666</c:v>
                </c:pt>
                <c:pt idx="3">
                  <c:v>1.2340962665090496</c:v>
                </c:pt>
                <c:pt idx="4">
                  <c:v>1.2357235834083216</c:v>
                </c:pt>
                <c:pt idx="5">
                  <c:v>1.2808027744723864</c:v>
                </c:pt>
                <c:pt idx="6">
                  <c:v>1.2223934183251974</c:v>
                </c:pt>
                <c:pt idx="7">
                  <c:v>1.1957499938725402</c:v>
                </c:pt>
                <c:pt idx="8">
                  <c:v>1.1818512902381599</c:v>
                </c:pt>
                <c:pt idx="9">
                  <c:v>1.1804657732046777</c:v>
                </c:pt>
                <c:pt idx="10">
                  <c:v>1.1671330719517214</c:v>
                </c:pt>
              </c:numCache>
            </c:numRef>
          </c:val>
          <c:smooth val="0"/>
          <c:extLst>
            <c:ext xmlns:c16="http://schemas.microsoft.com/office/drawing/2014/chart" uri="{C3380CC4-5D6E-409C-BE32-E72D297353CC}">
              <c16:uniqueId val="{00000002-1068-4BF7-B010-DA1D7E9BF603}"/>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1"/>
        <c:axPos val="r"/>
        <c:numFmt formatCode="_(* #,##0.00_);_(* \(#,##0.00\);_(* &quot;-&quot;??_);_(@_)" sourceLinked="1"/>
        <c:majorTickMark val="out"/>
        <c:minorTickMark val="none"/>
        <c:tickLblPos val="nextTo"/>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1.7435969062625487E-2"/>
          <c:y val="0.15238745892057609"/>
          <c:w val="0.93608689929408173"/>
          <c:h val="6.0763848442338328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Población Afiliada del SFS por Tipo de Afiliación</a:t>
            </a:r>
          </a:p>
        </c:rich>
      </c:tx>
      <c:layout>
        <c:manualLayout>
          <c:xMode val="edge"/>
          <c:yMode val="edge"/>
          <c:x val="0.15519950975291083"/>
          <c:y val="3.6112412372504073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6979062648354"/>
          <c:y val="0.18564109007650639"/>
          <c:w val="0.76241327440202056"/>
          <c:h val="0.61298915760529937"/>
        </c:manualLayout>
      </c:layout>
      <c:barChart>
        <c:barDir val="bar"/>
        <c:grouping val="clustered"/>
        <c:varyColors val="0"/>
        <c:ser>
          <c:idx val="0"/>
          <c:order val="0"/>
          <c:tx>
            <c:strRef>
              <c:f>'III.2.2. Afil. SFS RC Anual '!$M$12</c:f>
              <c:strCache>
                <c:ptCount val="1"/>
                <c:pt idx="0">
                  <c:v> Titulares </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5A-45D9-A676-D4A0624D2CF6}"/>
              </c:ext>
            </c:extLst>
          </c:dPt>
          <c:dLbls>
            <c:dLbl>
              <c:idx val="0"/>
              <c:layout>
                <c:manualLayout>
                  <c:x val="-2.1915073739909145E-2"/>
                  <c:y val="-9.857955401057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5A-45D9-A676-D4A0624D2CF6}"/>
                </c:ext>
              </c:extLst>
            </c:dLbl>
            <c:dLbl>
              <c:idx val="1"/>
              <c:layout>
                <c:manualLayout>
                  <c:x val="4.4479975079917451E-6"/>
                  <c:y val="-1.3575239699703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5A-45D9-A676-D4A0624D2CF6}"/>
                </c:ext>
              </c:extLst>
            </c:dLbl>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'!$N$11:$O$11</c:f>
              <c:strCache>
                <c:ptCount val="2"/>
                <c:pt idx="0">
                  <c:v> Regimen Cotributivo </c:v>
                </c:pt>
                <c:pt idx="1">
                  <c:v> Regimen Subsidiado </c:v>
                </c:pt>
              </c:strCache>
            </c:strRef>
          </c:cat>
          <c:val>
            <c:numRef>
              <c:f>'III.2.2. Afil. SFS RC Anual '!$N$12:$O$12</c:f>
              <c:numCache>
                <c:formatCode>_(* #,##0_);_(* \(#,##0\);_(* "-"_);_(@_)</c:formatCode>
                <c:ptCount val="2"/>
                <c:pt idx="0">
                  <c:v>2191942</c:v>
                </c:pt>
                <c:pt idx="1">
                  <c:v>4822818</c:v>
                </c:pt>
              </c:numCache>
            </c:numRef>
          </c:val>
          <c:extLst>
            <c:ext xmlns:c16="http://schemas.microsoft.com/office/drawing/2014/chart" uri="{C3380CC4-5D6E-409C-BE32-E72D297353CC}">
              <c16:uniqueId val="{00000003-335A-45D9-A676-D4A0624D2CF6}"/>
            </c:ext>
          </c:extLst>
        </c:ser>
        <c:ser>
          <c:idx val="1"/>
          <c:order val="1"/>
          <c:tx>
            <c:strRef>
              <c:f>'III.2.2. Afil. SFS RC Anual '!$M$13</c:f>
              <c:strCache>
                <c:ptCount val="1"/>
                <c:pt idx="0">
                  <c:v> Dependientes Directos  </c:v>
                </c:pt>
              </c:strCache>
            </c:strRef>
          </c:tx>
          <c:spPr>
            <a:solidFill>
              <a:schemeClr val="accent3"/>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5-335A-45D9-A676-D4A0624D2CF6}"/>
              </c:ext>
            </c:extLst>
          </c:dPt>
          <c:dLbls>
            <c:dLbl>
              <c:idx val="0"/>
              <c:layout>
                <c:manualLayout>
                  <c:x val="1.9723566365918231E-2"/>
                  <c:y val="-1.7744319721903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5A-45D9-A676-D4A0624D2CF6}"/>
                </c:ext>
              </c:extLst>
            </c:dLbl>
            <c:dLbl>
              <c:idx val="1"/>
              <c:layout>
                <c:manualLayout>
                  <c:x val="1.4748822632617236E-2"/>
                  <c:y val="-2.2207714542011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5A-45D9-A676-D4A0624D2CF6}"/>
                </c:ext>
              </c:extLst>
            </c:dLbl>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'!$N$11:$O$11</c:f>
              <c:strCache>
                <c:ptCount val="2"/>
                <c:pt idx="0">
                  <c:v> Regimen Cotributivo </c:v>
                </c:pt>
                <c:pt idx="1">
                  <c:v> Regimen Subsidiado </c:v>
                </c:pt>
              </c:strCache>
            </c:strRef>
          </c:cat>
          <c:val>
            <c:numRef>
              <c:f>'III.2.2. Afil. SFS RC Anual '!$N$13:$O$13</c:f>
              <c:numCache>
                <c:formatCode>_(* #,##0_);_(* \(#,##0\);_(* "-"_);_(@_)</c:formatCode>
                <c:ptCount val="2"/>
                <c:pt idx="0">
                  <c:v>2292413</c:v>
                </c:pt>
                <c:pt idx="1">
                  <c:v>874408</c:v>
                </c:pt>
              </c:numCache>
            </c:numRef>
          </c:val>
          <c:extLst>
            <c:ext xmlns:c16="http://schemas.microsoft.com/office/drawing/2014/chart" uri="{C3380CC4-5D6E-409C-BE32-E72D297353CC}">
              <c16:uniqueId val="{00000007-335A-45D9-A676-D4A0624D2CF6}"/>
            </c:ext>
          </c:extLst>
        </c:ser>
        <c:ser>
          <c:idx val="2"/>
          <c:order val="2"/>
          <c:tx>
            <c:strRef>
              <c:f>'III.2.2. Afil. SFS RC Anual '!$M$14</c:f>
              <c:strCache>
                <c:ptCount val="1"/>
                <c:pt idx="0">
                  <c:v> Dependientes Adicionales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'!$N$11:$O$11</c:f>
              <c:strCache>
                <c:ptCount val="2"/>
                <c:pt idx="0">
                  <c:v> Regimen Cotributivo </c:v>
                </c:pt>
                <c:pt idx="1">
                  <c:v> Regimen Subsidiado </c:v>
                </c:pt>
              </c:strCache>
            </c:strRef>
          </c:cat>
          <c:val>
            <c:numRef>
              <c:f>'III.2.2. Afil. SFS RC Anual '!$N$14:$O$14</c:f>
              <c:numCache>
                <c:formatCode>_(* #,##0_);_(* \(#,##0\);_(* "-"_);_(@_)</c:formatCode>
                <c:ptCount val="2"/>
                <c:pt idx="0">
                  <c:v>265875</c:v>
                </c:pt>
              </c:numCache>
            </c:numRef>
          </c:val>
          <c:extLst>
            <c:ext xmlns:c16="http://schemas.microsoft.com/office/drawing/2014/chart" uri="{C3380CC4-5D6E-409C-BE32-E72D297353CC}">
              <c16:uniqueId val="{00000008-335A-45D9-A676-D4A0624D2CF6}"/>
            </c:ext>
          </c:extLst>
        </c:ser>
        <c:dLbls>
          <c:showLegendKey val="0"/>
          <c:showVal val="0"/>
          <c:showCatName val="0"/>
          <c:showSerName val="0"/>
          <c:showPercent val="0"/>
          <c:showBubbleSize val="0"/>
        </c:dLbls>
        <c:gapWidth val="59"/>
        <c:axId val="832307791"/>
        <c:axId val="832327759"/>
        <c:extLst>
          <c:ext xmlns:c15="http://schemas.microsoft.com/office/drawing/2012/chart" uri="{02D57815-91ED-43cb-92C2-25804820EDAC}">
            <c15:filteredBarSeries>
              <c15:ser>
                <c:idx val="3"/>
                <c:order val="3"/>
                <c:tx>
                  <c:v>Pensionados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
                    <c:pt idx="0">
                      <c:v>111952</c:v>
                    </c:pt>
                  </c:numLit>
                </c:val>
                <c:extLst>
                  <c:ext xmlns:c16="http://schemas.microsoft.com/office/drawing/2014/chart" uri="{C3380CC4-5D6E-409C-BE32-E72D297353CC}">
                    <c16:uniqueId val="{00000009-335A-45D9-A676-D4A0624D2CF6}"/>
                  </c:ext>
                </c:extLst>
              </c15:ser>
            </c15:filteredBarSeries>
          </c:ext>
        </c:extLst>
      </c:barChart>
      <c:catAx>
        <c:axId val="8323077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32327759"/>
        <c:crosses val="autoZero"/>
        <c:auto val="1"/>
        <c:lblAlgn val="ctr"/>
        <c:lblOffset val="100"/>
        <c:noMultiLvlLbl val="0"/>
      </c:catAx>
      <c:valAx>
        <c:axId val="832327759"/>
        <c:scaling>
          <c:orientation val="minMax"/>
        </c:scaling>
        <c:delete val="1"/>
        <c:axPos val="b"/>
        <c:numFmt formatCode="_(* #,##0_);_(* \(#,##0\);_(* &quot;-&quot;_);_(@_)"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2.6113515301203968E-2"/>
          <c:y val="0.17525654687900855"/>
          <c:w val="0.85268232591433457"/>
          <c:h val="5.7319200484554814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solidFill>
        <a:schemeClr val="bg1"/>
      </a:solid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s-DO" sz="4000" cap="none" baseline="0"/>
              <a:t>Total de Empresas Registradas al SDSS  por Tipos</a:t>
            </a:r>
          </a:p>
        </c:rich>
      </c:tx>
      <c:layout>
        <c:manualLayout>
          <c:xMode val="edge"/>
          <c:yMode val="edge"/>
          <c:x val="0.1846961550515141"/>
          <c:y val="3.8839240623377361E-2"/>
        </c:manualLayout>
      </c:layout>
      <c:overlay val="0"/>
      <c:spPr>
        <a:noFill/>
        <a:ln>
          <a:noFill/>
        </a:ln>
        <a:effectLst/>
      </c:spPr>
      <c:txPr>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080431189295531E-2"/>
          <c:y val="0.19486047577386159"/>
          <c:w val="0.93937693813681633"/>
          <c:h val="0.60486722493021705"/>
        </c:manualLayout>
      </c:layout>
      <c:barChart>
        <c:barDir val="col"/>
        <c:grouping val="clustered"/>
        <c:varyColors val="0"/>
        <c:ser>
          <c:idx val="0"/>
          <c:order val="0"/>
          <c:spPr>
            <a:solidFill>
              <a:schemeClr val="accent3">
                <a:lumMod val="75000"/>
              </a:schemeClr>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D661-4A12-B708-B856F58E52AC}"/>
              </c:ext>
            </c:extLst>
          </c:dPt>
          <c:dPt>
            <c:idx val="1"/>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D661-4A12-B708-B856F58E52AC}"/>
              </c:ext>
            </c:extLst>
          </c:dPt>
          <c:dPt>
            <c:idx val="2"/>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D661-4A12-B708-B856F58E52AC}"/>
              </c:ext>
            </c:extLst>
          </c:dPt>
          <c:dLbls>
            <c:dLbl>
              <c:idx val="0"/>
              <c:layout>
                <c:manualLayout>
                  <c:x val="-1.0224948326438976E-2"/>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61-4A12-B708-B856F58E52AC}"/>
                </c:ext>
              </c:extLst>
            </c:dLbl>
            <c:spPr>
              <a:noFill/>
              <a:ln>
                <a:noFill/>
              </a:ln>
              <a:effectLst/>
            </c:spPr>
            <c:txPr>
              <a:bodyPr rot="0" spcFirstLastPara="1" vertOverflow="ellipsis" vert="horz" wrap="square" anchor="ctr" anchorCtr="1"/>
              <a:lstStyle/>
              <a:p>
                <a:pPr>
                  <a:defRPr sz="35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'!$B$4:$D$4</c:f>
              <c:strCache>
                <c:ptCount val="3"/>
                <c:pt idx="0">
                  <c:v> Empresas Privadas </c:v>
                </c:pt>
                <c:pt idx="1">
                  <c:v>  Empresas Públicas  </c:v>
                </c:pt>
                <c:pt idx="2">
                  <c:v> Empresas Públicas Centralizadas </c:v>
                </c:pt>
              </c:strCache>
            </c:strRef>
          </c:cat>
          <c:val>
            <c:numRef>
              <c:f>'II.3. Empl x sector '!$B$22:$D$22</c:f>
              <c:numCache>
                <c:formatCode>_(* #,##0_);_(* \(#,##0\);_(* "-"??_);_(@_)</c:formatCode>
                <c:ptCount val="3"/>
                <c:pt idx="0">
                  <c:v>111636</c:v>
                </c:pt>
                <c:pt idx="1">
                  <c:v>580</c:v>
                </c:pt>
                <c:pt idx="2">
                  <c:v>68</c:v>
                </c:pt>
              </c:numCache>
            </c:numRef>
          </c:val>
          <c:extLst>
            <c:ext xmlns:c16="http://schemas.microsoft.com/office/drawing/2014/chart" uri="{C3380CC4-5D6E-409C-BE32-E72D297353CC}">
              <c16:uniqueId val="{00000006-D661-4A12-B708-B856F58E52AC}"/>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Dispersión a las Administradora de Riesgos de Salud (ARS) </a:t>
            </a:r>
          </a:p>
        </c:rich>
      </c:tx>
      <c:layout>
        <c:manualLayout>
          <c:xMode val="edge"/>
          <c:yMode val="edge"/>
          <c:x val="0.26725731741802378"/>
          <c:y val="3.0042918454935622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634425873146224"/>
          <c:y val="0.10761905619921079"/>
          <c:w val="0.85919734151329241"/>
          <c:h val="0.33381712583409906"/>
        </c:manualLayout>
      </c:layout>
      <c:lineChart>
        <c:grouping val="standard"/>
        <c:varyColors val="0"/>
        <c:ser>
          <c:idx val="0"/>
          <c:order val="0"/>
          <c:tx>
            <c:strRef>
              <c:f>'IV.2.4.Pagos x ARS'!$C$4</c:f>
              <c:strCache>
                <c:ptCount val="1"/>
                <c:pt idx="0">
                  <c:v>Total General
2022- Mar.25</c:v>
                </c:pt>
              </c:strCache>
            </c:strRef>
          </c:tx>
          <c:spPr>
            <a:ln w="66675" cap="rnd" cmpd="sng" algn="ctr">
              <a:solidFill>
                <a:schemeClr val="accent1">
                  <a:shade val="95000"/>
                  <a:satMod val="105000"/>
                </a:schemeClr>
              </a:solidFill>
              <a:prstDash val="solid"/>
              <a:round/>
            </a:ln>
            <a:effectLst/>
          </c:spPr>
          <c:marker>
            <c:symbol val="circle"/>
            <c:size val="2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1-F43F-4C99-AB6E-47F702CABAB9}"/>
              </c:ext>
            </c:extLst>
          </c:dPt>
          <c:dPt>
            <c:idx val="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F43F-4C99-AB6E-47F702CABAB9}"/>
              </c:ext>
            </c:extLst>
          </c:dPt>
          <c:dPt>
            <c:idx val="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5-F43F-4C99-AB6E-47F702CABAB9}"/>
              </c:ext>
            </c:extLst>
          </c:dPt>
          <c:dPt>
            <c:idx val="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7-F43F-4C99-AB6E-47F702CABAB9}"/>
              </c:ext>
            </c:extLst>
          </c:dPt>
          <c:dPt>
            <c:idx val="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9-F43F-4C99-AB6E-47F702CABAB9}"/>
              </c:ext>
            </c:extLst>
          </c:dPt>
          <c:dPt>
            <c:idx val="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B-F43F-4C99-AB6E-47F702CABAB9}"/>
              </c:ext>
            </c:extLst>
          </c:dPt>
          <c:dPt>
            <c:idx val="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D-F43F-4C99-AB6E-47F702CABAB9}"/>
              </c:ext>
            </c:extLst>
          </c:dPt>
          <c:dPt>
            <c:idx val="7"/>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F-F43F-4C99-AB6E-47F702CABAB9}"/>
              </c:ext>
            </c:extLst>
          </c:dPt>
          <c:dPt>
            <c:idx val="8"/>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1-F43F-4C99-AB6E-47F702CABAB9}"/>
              </c:ext>
            </c:extLst>
          </c:dPt>
          <c:dPt>
            <c:idx val="9"/>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3-F43F-4C99-AB6E-47F702CABAB9}"/>
              </c:ext>
            </c:extLst>
          </c:dPt>
          <c:dPt>
            <c:idx val="1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5-F43F-4C99-AB6E-47F702CABAB9}"/>
              </c:ext>
            </c:extLst>
          </c:dPt>
          <c:dPt>
            <c:idx val="1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7-F43F-4C99-AB6E-47F702CABAB9}"/>
              </c:ext>
            </c:extLst>
          </c:dPt>
          <c:dPt>
            <c:idx val="1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9-F43F-4C99-AB6E-47F702CABAB9}"/>
              </c:ext>
            </c:extLst>
          </c:dPt>
          <c:dPt>
            <c:idx val="1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B-F43F-4C99-AB6E-47F702CABAB9}"/>
              </c:ext>
            </c:extLst>
          </c:dPt>
          <c:dPt>
            <c:idx val="1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D-F43F-4C99-AB6E-47F702CABAB9}"/>
              </c:ext>
            </c:extLst>
          </c:dPt>
          <c:dPt>
            <c:idx val="1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F-F43F-4C99-AB6E-47F702CABAB9}"/>
              </c:ext>
            </c:extLst>
          </c:dPt>
          <c:dPt>
            <c:idx val="1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21-F43F-4C99-AB6E-47F702CABAB9}"/>
              </c:ext>
            </c:extLst>
          </c:dPt>
          <c:dLbls>
            <c:dLbl>
              <c:idx val="0"/>
              <c:layout>
                <c:manualLayout>
                  <c:x val="-2.7949649313562662E-2"/>
                  <c:y val="-0.123505976095617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3F-4C99-AB6E-47F702CABAB9}"/>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78984301567.919998</c:v>
                </c:pt>
                <c:pt idx="1">
                  <c:v>101027098480.34</c:v>
                </c:pt>
                <c:pt idx="2">
                  <c:v>34074020683.290001</c:v>
                </c:pt>
                <c:pt idx="3">
                  <c:v>18109868672.18</c:v>
                </c:pt>
                <c:pt idx="4">
                  <c:v>9251795854.6900005</c:v>
                </c:pt>
                <c:pt idx="5">
                  <c:v>17167594394.73</c:v>
                </c:pt>
                <c:pt idx="6">
                  <c:v>5382272715.7600002</c:v>
                </c:pt>
                <c:pt idx="7">
                  <c:v>5198594029.3700008</c:v>
                </c:pt>
                <c:pt idx="8">
                  <c:v>6101061518.6900005</c:v>
                </c:pt>
                <c:pt idx="9">
                  <c:v>6518807335.6100006</c:v>
                </c:pt>
                <c:pt idx="10">
                  <c:v>3542691735.5999999</c:v>
                </c:pt>
                <c:pt idx="11">
                  <c:v>1741202877.03</c:v>
                </c:pt>
                <c:pt idx="12">
                  <c:v>1618374163.6300001</c:v>
                </c:pt>
                <c:pt idx="13">
                  <c:v>2575775033.1199999</c:v>
                </c:pt>
                <c:pt idx="14">
                  <c:v>2364364759.3199997</c:v>
                </c:pt>
                <c:pt idx="15">
                  <c:v>2877654915.77</c:v>
                </c:pt>
                <c:pt idx="16">
                  <c:v>485261756.27999997</c:v>
                </c:pt>
              </c:numCache>
            </c:numRef>
          </c:val>
          <c:smooth val="0"/>
          <c:extLst>
            <c:ext xmlns:c16="http://schemas.microsoft.com/office/drawing/2014/chart" uri="{C3380CC4-5D6E-409C-BE32-E72D297353CC}">
              <c16:uniqueId val="{0000003A-F43F-4C99-AB6E-47F702CABAB9}"/>
            </c:ext>
          </c:extLst>
        </c:ser>
        <c:dLbls>
          <c:showLegendKey val="0"/>
          <c:showVal val="0"/>
          <c:showCatName val="0"/>
          <c:showSerName val="0"/>
          <c:showPercent val="0"/>
          <c:showBubbleSize val="0"/>
        </c:dLbls>
        <c:marker val="1"/>
        <c:smooth val="0"/>
        <c:axId val="432547600"/>
        <c:axId val="432547992"/>
      </c:line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Evolución del Patrimonio de los Fondos de pensiones por año (Millones RD$)</a:t>
            </a:r>
          </a:p>
        </c:rich>
      </c:tx>
      <c:layout>
        <c:manualLayout>
          <c:xMode val="edge"/>
          <c:yMode val="edge"/>
          <c:x val="0.12066666666666667"/>
          <c:y val="3.246753246753247E-3"/>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895119517095539"/>
          <c:y val="0.14521571760051735"/>
          <c:w val="0.73975629899639828"/>
          <c:h val="0.79815633915325812"/>
        </c:manualLayout>
      </c:layout>
      <c:barChart>
        <c:barDir val="bar"/>
        <c:grouping val="clustered"/>
        <c:varyColors val="0"/>
        <c:ser>
          <c:idx val="0"/>
          <c:order val="0"/>
          <c:tx>
            <c:strRef>
              <c:f>'IV.3.5.Patrim. fp anual'!$B$4</c:f>
              <c:strCache>
                <c:ptCount val="1"/>
                <c:pt idx="0">
                  <c:v>Patrimonio Fondos de Pensiones 
(RD$ Millones)</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anual'!$A$5:$A$22</c15:sqref>
                  </c15:fullRef>
                </c:ext>
              </c:extLst>
              <c:f>'IV.3.5.Patrim. fp anual'!$A$12:$A$22</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'IV.3.5.Patrim. fp anual'!$B$5:$B$22</c15:sqref>
                  </c15:fullRef>
                </c:ext>
              </c:extLst>
              <c:f>'IV.3.5.Patrim. fp anual'!$B$12:$B$22</c:f>
              <c:numCache>
                <c:formatCode>_(* #,##0.00_);_(* \(#,##0.00\);_(* "-"??_);_(@_)</c:formatCode>
                <c:ptCount val="11"/>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1213344.006122</c:v>
                </c:pt>
                <c:pt idx="9">
                  <c:v>1397051.0850722701</c:v>
                </c:pt>
                <c:pt idx="10">
                  <c:v>1455467.2471073999</c:v>
                </c:pt>
              </c:numCache>
            </c:numRef>
          </c:val>
          <c:extLst>
            <c:ext xmlns:c16="http://schemas.microsoft.com/office/drawing/2014/chart" uri="{C3380CC4-5D6E-409C-BE32-E72D297353CC}">
              <c16:uniqueId val="{00000000-59E5-4A3D-9681-E3DFB86EBAF7}"/>
            </c:ext>
          </c:extLst>
        </c:ser>
        <c:dLbls>
          <c:showLegendKey val="0"/>
          <c:showVal val="0"/>
          <c:showCatName val="0"/>
          <c:showSerName val="0"/>
          <c:showPercent val="0"/>
          <c:showBubbleSize val="0"/>
        </c:dLbls>
        <c:gapWidth val="60"/>
        <c:axId val="690728480"/>
        <c:axId val="690730560"/>
      </c:barChart>
      <c:catAx>
        <c:axId val="69072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90730560"/>
        <c:crosses val="autoZero"/>
        <c:auto val="1"/>
        <c:lblAlgn val="ctr"/>
        <c:lblOffset val="100"/>
        <c:noMultiLvlLbl val="0"/>
      </c:catAx>
      <c:valAx>
        <c:axId val="690730560"/>
        <c:scaling>
          <c:orientation val="minMax"/>
        </c:scaling>
        <c:delete val="1"/>
        <c:axPos val="b"/>
        <c:numFmt formatCode="_(* #,##0.00_);_(* \(#,##0.00\);_(* &quot;-&quot;??_);_(@_)" sourceLinked="1"/>
        <c:majorTickMark val="none"/>
        <c:minorTickMark val="none"/>
        <c:tickLblPos val="nextTo"/>
        <c:crossAx val="690728480"/>
        <c:crosses val="autoZero"/>
        <c:crossBetween val="between"/>
      </c:valAx>
      <c:spPr>
        <a:noFill/>
        <a:ln>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Total de Afiliados Registrados al Seguro de Riesgos Laborales</a:t>
            </a:r>
          </a:p>
        </c:rich>
      </c:tx>
      <c:layout>
        <c:manualLayout>
          <c:xMode val="edge"/>
          <c:yMode val="edge"/>
          <c:x val="0.18194173147462883"/>
          <c:y val="7.2052095760757176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4320557773113493E-2"/>
          <c:y val="0.34214491370396882"/>
          <c:w val="0.93589459252878426"/>
          <c:h val="0.37945717012646146"/>
        </c:manualLayout>
      </c:layout>
      <c:lineChart>
        <c:grouping val="standard"/>
        <c:varyColors val="0"/>
        <c:ser>
          <c:idx val="0"/>
          <c:order val="0"/>
          <c:tx>
            <c:strRef>
              <c:f>'II.3. Empl x sector '!$J$4</c:f>
              <c:strCache>
                <c:ptCount val="1"/>
                <c:pt idx="0">
                  <c:v> Total  Empleados </c:v>
                </c:pt>
              </c:strCache>
            </c:strRef>
          </c:tx>
          <c:spPr>
            <a:ln w="28575" cap="rnd">
              <a:solidFill>
                <a:schemeClr val="accent6"/>
              </a:solidFill>
              <a:round/>
            </a:ln>
            <a:effectLst/>
          </c:spPr>
          <c:marker>
            <c:symbol val="circle"/>
            <c:size val="50"/>
            <c:spPr>
              <a:solidFill>
                <a:schemeClr val="accent6"/>
              </a:solidFill>
              <a:ln w="9525">
                <a:solidFill>
                  <a:schemeClr val="accent6"/>
                </a:solidFill>
              </a:ln>
              <a:effectLst/>
            </c:spPr>
          </c:marker>
          <c:dLbls>
            <c:spPr>
              <a:noFill/>
              <a:ln>
                <a:noFill/>
              </a:ln>
              <a:effectLst/>
            </c:spPr>
            <c:txPr>
              <a:bodyPr rot="-5400000" spcFirstLastPara="1" vertOverflow="ellipsis"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'!$A$5:$A$22</c15:sqref>
                  </c15:fullRef>
                </c:ext>
              </c:extLst>
              <c:f>'II.3. Empl x sector '!$A$12:$A$22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Abr.25 </c:v>
                </c:pt>
              </c:strCache>
            </c:strRef>
          </c:cat>
          <c:val>
            <c:numRef>
              <c:extLst>
                <c:ext xmlns:c15="http://schemas.microsoft.com/office/drawing/2012/chart" uri="{02D57815-91ED-43cb-92C2-25804820EDAC}">
                  <c15:fullRef>
                    <c15:sqref>'II.3. Empl x sector '!$J$5:$J$22</c15:sqref>
                  </c15:fullRef>
                </c:ext>
              </c:extLst>
              <c:f>'II.3. Empl x sector '!$J$12:$J$22</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2554953</c:v>
                </c:pt>
              </c:numCache>
            </c:numRef>
          </c:val>
          <c:smooth val="0"/>
          <c:extLst>
            <c:ext xmlns:c16="http://schemas.microsoft.com/office/drawing/2014/chart" uri="{C3380CC4-5D6E-409C-BE32-E72D297353CC}">
              <c16:uniqueId val="{00000000-4FFF-43F5-8B4E-80ECC09A4E55}"/>
            </c:ext>
          </c:extLst>
        </c:ser>
        <c:dLbls>
          <c:showLegendKey val="0"/>
          <c:showVal val="0"/>
          <c:showCatName val="0"/>
          <c:showSerName val="0"/>
          <c:showPercent val="0"/>
          <c:showBubbleSize val="0"/>
        </c:dLbls>
        <c:marker val="1"/>
        <c:smooth val="0"/>
        <c:axId val="1553035167"/>
        <c:axId val="1553037247"/>
      </c:lineChart>
      <c:catAx>
        <c:axId val="155303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53037247"/>
        <c:crosses val="autoZero"/>
        <c:auto val="1"/>
        <c:lblAlgn val="ctr"/>
        <c:lblOffset val="100"/>
        <c:noMultiLvlLbl val="0"/>
      </c:catAx>
      <c:valAx>
        <c:axId val="1553037247"/>
        <c:scaling>
          <c:orientation val="minMax"/>
        </c:scaling>
        <c:delete val="1"/>
        <c:axPos val="l"/>
        <c:numFmt formatCode="_(* #,##0_);_(* \(#,##0\);_(* &quot;-&quot;??_);_(@_)" sourceLinked="1"/>
        <c:majorTickMark val="none"/>
        <c:minorTickMark val="none"/>
        <c:tickLblPos val="nextTo"/>
        <c:crossAx val="1553035167"/>
        <c:crosses val="autoZero"/>
        <c:crossBetween val="between"/>
      </c:valAx>
      <c:spPr>
        <a:solidFill>
          <a:schemeClr val="bg1"/>
        </a:solidFill>
        <a:ln>
          <a:noFill/>
        </a:ln>
        <a:effectLst/>
      </c:spPr>
    </c:plotArea>
    <c:plotVisOnly val="1"/>
    <c:dispBlanksAs val="gap"/>
    <c:showDLblsOverMax val="0"/>
  </c:chart>
  <c:spPr>
    <a:no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7185364484252194E-2"/>
          <c:y val="7.5767593708538944E-2"/>
          <c:w val="0.94945506136057323"/>
          <c:h val="0.62992066525664869"/>
        </c:manualLayout>
      </c:layout>
      <c:lineChart>
        <c:grouping val="standard"/>
        <c:varyColors val="0"/>
        <c:ser>
          <c:idx val="0"/>
          <c:order val="0"/>
          <c:tx>
            <c:strRef>
              <c:f>' II.4.Empr x No. de empl'!$B$4</c:f>
              <c:strCache>
                <c:ptCount val="1"/>
                <c:pt idx="0">
                  <c:v>Empresas por rango</c:v>
                </c:pt>
              </c:strCache>
            </c:strRef>
          </c:tx>
          <c:spPr>
            <a:ln w="41275" cap="rnd">
              <a:solidFill>
                <a:schemeClr val="accent5"/>
              </a:solidFill>
              <a:round/>
            </a:ln>
            <a:effectLst/>
          </c:spPr>
          <c:marker>
            <c:symbol val="circle"/>
            <c:size val="41"/>
            <c:spPr>
              <a:solidFill>
                <a:srgbClr val="00A94F"/>
              </a:solidFill>
              <a:ln w="38100">
                <a:solidFill>
                  <a:schemeClr val="bg1"/>
                </a:solidFill>
              </a:ln>
              <a:effectLst/>
            </c:spPr>
          </c:marker>
          <c:dLbls>
            <c:dLbl>
              <c:idx val="1"/>
              <c:layout>
                <c:manualLayout>
                  <c:x val="-2.0296210600156905E-2"/>
                  <c:y val="-7.1381802235824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D-45A7-9071-04A16C062E7E}"/>
                </c:ext>
              </c:extLst>
            </c:dLbl>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69424</c:v>
                </c:pt>
                <c:pt idx="1">
                  <c:v>19580</c:v>
                </c:pt>
                <c:pt idx="2">
                  <c:v>11217</c:v>
                </c:pt>
                <c:pt idx="3">
                  <c:v>7596</c:v>
                </c:pt>
                <c:pt idx="4">
                  <c:v>2083</c:v>
                </c:pt>
                <c:pt idx="5">
                  <c:v>1827</c:v>
                </c:pt>
                <c:pt idx="6">
                  <c:v>278</c:v>
                </c:pt>
                <c:pt idx="7">
                  <c:v>269</c:v>
                </c:pt>
                <c:pt idx="8">
                  <c:v>10</c:v>
                </c:pt>
              </c:numCache>
            </c:numRef>
          </c:val>
          <c:smooth val="0"/>
          <c:extLst>
            <c:ext xmlns:c16="http://schemas.microsoft.com/office/drawing/2014/chart" uri="{C3380CC4-5D6E-409C-BE32-E72D297353CC}">
              <c16:uniqueId val="{00000000-39D6-4089-A52B-480A22C06830}"/>
            </c:ext>
          </c:extLst>
        </c:ser>
        <c:dLbls>
          <c:showLegendKey val="0"/>
          <c:showVal val="0"/>
          <c:showCatName val="0"/>
          <c:showSerName val="0"/>
          <c:showPercent val="0"/>
          <c:showBubbleSize val="0"/>
        </c:dLbls>
        <c:marker val="1"/>
        <c:smooth val="0"/>
        <c:axId val="631285200"/>
        <c:axId val="631287280"/>
      </c:lineChart>
      <c:catAx>
        <c:axId val="63128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31287280"/>
        <c:crosses val="autoZero"/>
        <c:auto val="1"/>
        <c:lblAlgn val="ctr"/>
        <c:lblOffset val="100"/>
        <c:noMultiLvlLbl val="0"/>
      </c:catAx>
      <c:valAx>
        <c:axId val="631287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631285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Afiliación del SFS por Régimen de Financiamiento</a:t>
            </a:r>
          </a:p>
        </c:rich>
      </c:tx>
      <c:layout>
        <c:manualLayout>
          <c:xMode val="edge"/>
          <c:yMode val="edge"/>
          <c:x val="0.15415337676699045"/>
          <c:y val="2.31493810054859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80"/>
      <c:rotY val="3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6604361370716508E-2"/>
          <c:y val="0.15696995060656785"/>
          <c:w val="0.91944029484632173"/>
          <c:h val="0.76711606423212853"/>
        </c:manualLayout>
      </c:layout>
      <c:pie3DChart>
        <c:varyColors val="1"/>
        <c:ser>
          <c:idx val="0"/>
          <c:order val="0"/>
          <c:explosion val="13"/>
          <c:dPt>
            <c:idx val="0"/>
            <c:bubble3D val="0"/>
            <c:explosion val="7"/>
            <c:spPr>
              <a:solidFill>
                <a:schemeClr val="accent5">
                  <a:shade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63C8-4368-895C-4142144D5A42}"/>
              </c:ext>
            </c:extLst>
          </c:dPt>
          <c:dPt>
            <c:idx val="1"/>
            <c:bubble3D val="0"/>
            <c:explosion val="4"/>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63C8-4368-895C-4142144D5A42}"/>
              </c:ext>
            </c:extLst>
          </c:dPt>
          <c:dPt>
            <c:idx val="2"/>
            <c:bubble3D val="0"/>
            <c:spPr>
              <a:solidFill>
                <a:schemeClr val="accent5">
                  <a:tint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63C8-4368-895C-4142144D5A42}"/>
              </c:ext>
            </c:extLst>
          </c:dPt>
          <c:dLbls>
            <c:dLbl>
              <c:idx val="0"/>
              <c:layout>
                <c:manualLayout>
                  <c:x val="1.6208348321941991E-2"/>
                  <c:y val="-5.112376510876054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C8-4368-895C-4142144D5A42}"/>
                </c:ext>
              </c:extLst>
            </c:dLbl>
            <c:dLbl>
              <c:idx val="2"/>
              <c:layout>
                <c:manualLayout>
                  <c:x val="2.7342090416268061E-2"/>
                  <c:y val="3.175853018372703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C8-4368-895C-4142144D5A42}"/>
                </c:ext>
              </c:extLst>
            </c:dLbl>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'III.1.4.Afil. SFS'!$B$4:$D$4</c:f>
              <c:strCache>
                <c:ptCount val="3"/>
                <c:pt idx="0">
                  <c:v> Afiliación  RC </c:v>
                </c:pt>
                <c:pt idx="1">
                  <c:v> Afiliación RS </c:v>
                </c:pt>
                <c:pt idx="2">
                  <c:v> Pensionados </c:v>
                </c:pt>
              </c:strCache>
            </c:strRef>
          </c:cat>
          <c:val>
            <c:numRef>
              <c:f>'III.1.4.Afil. SFS'!$B$22:$D$22</c:f>
              <c:numCache>
                <c:formatCode>_(* #,##0_);_(* \(#,##0\);_(* "-"??_);_(@_)</c:formatCode>
                <c:ptCount val="3"/>
                <c:pt idx="0">
                  <c:v>4750230</c:v>
                </c:pt>
                <c:pt idx="1">
                  <c:v>5697226</c:v>
                </c:pt>
                <c:pt idx="2">
                  <c:v>116976</c:v>
                </c:pt>
              </c:numCache>
            </c:numRef>
          </c:val>
          <c:extLst>
            <c:ext xmlns:c16="http://schemas.microsoft.com/office/drawing/2014/chart" uri="{C3380CC4-5D6E-409C-BE32-E72D297353CC}">
              <c16:uniqueId val="{00000006-63C8-4368-895C-4142144D5A42}"/>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Total de Afiliados del SFS por Sexo y Tipo de Afiliación</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846938099321743"/>
          <c:y val="0.19571391076115482"/>
          <c:w val="0.52736460850809486"/>
          <c:h val="0.73077078433377651"/>
        </c:manualLayout>
      </c:layout>
      <c:barChart>
        <c:barDir val="bar"/>
        <c:grouping val="clustered"/>
        <c:varyColors val="0"/>
        <c:ser>
          <c:idx val="0"/>
          <c:order val="0"/>
          <c:tx>
            <c:strRef>
              <c:f>'INFOGRAFIA V4'!$O$32</c:f>
              <c:strCache>
                <c:ptCount val="1"/>
                <c:pt idx="0">
                  <c:v>Masculino</c:v>
                </c:pt>
              </c:strCache>
            </c:strRef>
          </c:tx>
          <c:spPr>
            <a:solidFill>
              <a:schemeClr val="accent1"/>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8AC6-4A53-A983-2E5F8FB195A5}"/>
              </c:ext>
            </c:extLst>
          </c:dPt>
          <c:dPt>
            <c:idx val="1"/>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3-8AC6-4A53-A983-2E5F8FB195A5}"/>
              </c:ext>
            </c:extLst>
          </c:dPt>
          <c:dPt>
            <c:idx val="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8AC6-4A53-A983-2E5F8FB195A5}"/>
              </c:ext>
            </c:extLst>
          </c:dPt>
          <c:dLbls>
            <c:dLbl>
              <c:idx val="2"/>
              <c:layout>
                <c:manualLayout>
                  <c:x val="0"/>
                  <c:y val="1.3157894736842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C6-4A53-A983-2E5F8FB195A5}"/>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 V4'!$P$31:$R$31</c:f>
              <c:strCache>
                <c:ptCount val="3"/>
                <c:pt idx="0">
                  <c:v> Titulares RC</c:v>
                </c:pt>
                <c:pt idx="1">
                  <c:v>Dependientes   </c:v>
                </c:pt>
                <c:pt idx="2">
                  <c:v>Depend.  Directos  </c:v>
                </c:pt>
              </c:strCache>
            </c:strRef>
          </c:cat>
          <c:val>
            <c:numRef>
              <c:f>'INFOGRAFIA V4'!$P$32:$R$32</c:f>
              <c:numCache>
                <c:formatCode>#,##0</c:formatCode>
                <c:ptCount val="3"/>
                <c:pt idx="0">
                  <c:v>3597939</c:v>
                </c:pt>
                <c:pt idx="1">
                  <c:v>1506803</c:v>
                </c:pt>
                <c:pt idx="2">
                  <c:v>82266</c:v>
                </c:pt>
              </c:numCache>
            </c:numRef>
          </c:val>
          <c:extLst>
            <c:ext xmlns:c16="http://schemas.microsoft.com/office/drawing/2014/chart" uri="{C3380CC4-5D6E-409C-BE32-E72D297353CC}">
              <c16:uniqueId val="{00000006-8AC6-4A53-A983-2E5F8FB195A5}"/>
            </c:ext>
          </c:extLst>
        </c:ser>
        <c:ser>
          <c:idx val="1"/>
          <c:order val="1"/>
          <c:tx>
            <c:strRef>
              <c:f>'INFOGRAFIA V4'!$O$33</c:f>
              <c:strCache>
                <c:ptCount val="1"/>
                <c:pt idx="0">
                  <c:v>Femenino</c:v>
                </c:pt>
              </c:strCache>
            </c:strRef>
          </c:tx>
          <c:spPr>
            <a:solidFill>
              <a:schemeClr val="accent3">
                <a:lumMod val="75000"/>
              </a:schemeClr>
            </a:solidFill>
            <a:ln>
              <a:noFill/>
            </a:ln>
            <a:effectLst/>
          </c:spPr>
          <c:invertIfNegative val="0"/>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8-8AC6-4A53-A983-2E5F8FB195A5}"/>
              </c:ext>
            </c:extLst>
          </c:dPt>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A-8AC6-4A53-A983-2E5F8FB195A5}"/>
              </c:ext>
            </c:extLst>
          </c:dPt>
          <c:dLbls>
            <c:dLbl>
              <c:idx val="0"/>
              <c:layout>
                <c:manualLayout>
                  <c:x val="5.6432053956501993E-3"/>
                  <c:y val="-1.53508771929824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C6-4A53-A983-2E5F8FB195A5}"/>
                </c:ext>
              </c:extLst>
            </c:dLbl>
            <c:dLbl>
              <c:idx val="1"/>
              <c:layout>
                <c:manualLayout>
                  <c:x val="1.1768779668238255E-2"/>
                  <c:y val="-1.072112371201683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C6-4A53-A983-2E5F8FB195A5}"/>
                </c:ext>
              </c:extLst>
            </c:dLbl>
            <c:dLbl>
              <c:idx val="2"/>
              <c:layout>
                <c:manualLayout>
                  <c:x val="2.2424666288842531E-3"/>
                  <c:y val="2.1929824561403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C6-4A53-A983-2E5F8FB195A5}"/>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'INFOGRAFIA V4'!$P$31:$R$31</c:f>
              <c:strCache>
                <c:ptCount val="3"/>
                <c:pt idx="0">
                  <c:v> Titulares RC</c:v>
                </c:pt>
                <c:pt idx="1">
                  <c:v>Dependientes   </c:v>
                </c:pt>
                <c:pt idx="2">
                  <c:v>Depend.  Directos  </c:v>
                </c:pt>
              </c:strCache>
            </c:strRef>
          </c:cat>
          <c:val>
            <c:numRef>
              <c:f>'INFOGRAFIA V4'!$P$33:$R$33</c:f>
              <c:numCache>
                <c:formatCode>#,##0</c:formatCode>
                <c:ptCount val="3"/>
                <c:pt idx="0">
                  <c:v>3398814</c:v>
                </c:pt>
                <c:pt idx="1">
                  <c:v>1662505</c:v>
                </c:pt>
                <c:pt idx="2">
                  <c:v>179275</c:v>
                </c:pt>
              </c:numCache>
            </c:numRef>
          </c:val>
          <c:extLst>
            <c:ext xmlns:c16="http://schemas.microsoft.com/office/drawing/2014/chart" uri="{C3380CC4-5D6E-409C-BE32-E72D297353CC}">
              <c16:uniqueId val="{0000000C-8AC6-4A53-A983-2E5F8FB195A5}"/>
            </c:ext>
          </c:extLst>
        </c:ser>
        <c:dLbls>
          <c:showLegendKey val="0"/>
          <c:showVal val="0"/>
          <c:showCatName val="0"/>
          <c:showSerName val="0"/>
          <c:showPercent val="0"/>
          <c:showBubbleSize val="0"/>
        </c:dLbls>
        <c:gapWidth val="75"/>
        <c:overlap val="40"/>
        <c:axId val="1540506944"/>
        <c:axId val="1540504448"/>
      </c:barChart>
      <c:catAx>
        <c:axId val="1540506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40504448"/>
        <c:crosses val="autoZero"/>
        <c:auto val="1"/>
        <c:lblAlgn val="ctr"/>
        <c:lblOffset val="100"/>
        <c:noMultiLvlLbl val="0"/>
      </c:catAx>
      <c:valAx>
        <c:axId val="1540504448"/>
        <c:scaling>
          <c:orientation val="minMax"/>
        </c:scaling>
        <c:delete val="1"/>
        <c:axPos val="b"/>
        <c:numFmt formatCode="#,##0" sourceLinked="1"/>
        <c:majorTickMark val="none"/>
        <c:minorTickMark val="none"/>
        <c:tickLblPos val="nextTo"/>
        <c:crossAx val="1540506944"/>
        <c:crosses val="autoZero"/>
        <c:crossBetween val="between"/>
      </c:valAx>
      <c:spPr>
        <a:noFill/>
        <a:ln>
          <a:noFill/>
        </a:ln>
        <a:effectLst/>
      </c:spPr>
    </c:plotArea>
    <c:legend>
      <c:legendPos val="r"/>
      <c:layout>
        <c:manualLayout>
          <c:xMode val="edge"/>
          <c:yMode val="edge"/>
          <c:x val="0.23693149391748375"/>
          <c:y val="0.13416240583563419"/>
          <c:w val="0.58558068184256262"/>
          <c:h val="6.8935381971058932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3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 de la Composición del Patrimonio de Fondos de Pensiones SVDS</a:t>
            </a:r>
          </a:p>
        </c:rich>
      </c:tx>
      <c:layout>
        <c:manualLayout>
          <c:xMode val="edge"/>
          <c:yMode val="edge"/>
          <c:x val="0.23597368573413618"/>
          <c:y val="3.7549428578480974E-2"/>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123679222772966E-2"/>
          <c:y val="0.23126038770376256"/>
          <c:w val="0.9444271417187774"/>
          <c:h val="0.54423249764402593"/>
        </c:manualLayout>
      </c:layout>
      <c:lineChart>
        <c:grouping val="standard"/>
        <c:varyColors val="0"/>
        <c:ser>
          <c:idx val="1"/>
          <c:order val="0"/>
          <c:tx>
            <c:strRef>
              <c:f>'IV.3.9 Cartera Comp.'!$C$4</c:f>
              <c:strCache>
                <c:ptCount val="1"/>
                <c:pt idx="0">
                  <c:v>%</c:v>
                </c:pt>
              </c:strCache>
            </c:strRef>
          </c:tx>
          <c:spPr>
            <a:ln w="85725" cap="rnd">
              <a:gradFill flip="none" rotWithShape="1">
                <a:gsLst>
                  <a:gs pos="0">
                    <a:schemeClr val="accent5">
                      <a:lumMod val="89000"/>
                    </a:schemeClr>
                  </a:gs>
                  <a:gs pos="23000">
                    <a:schemeClr val="accent5">
                      <a:lumMod val="89000"/>
                    </a:schemeClr>
                  </a:gs>
                  <a:gs pos="69000">
                    <a:schemeClr val="accent5">
                      <a:lumMod val="75000"/>
                    </a:schemeClr>
                  </a:gs>
                  <a:gs pos="97000">
                    <a:schemeClr val="accent5">
                      <a:lumMod val="70000"/>
                    </a:schemeClr>
                  </a:gs>
                </a:gsLst>
                <a:path path="circle">
                  <a:fillToRect l="50000" t="50000" r="50000" b="50000"/>
                </a:path>
                <a:tileRect/>
              </a:gradFill>
              <a:round/>
            </a:ln>
            <a:effectLst/>
          </c:spPr>
          <c:marker>
            <c:symbol val="circle"/>
            <c:size val="40"/>
            <c:spPr>
              <a:solidFill>
                <a:srgbClr val="FFC000"/>
              </a:solidFill>
              <a:ln w="9525">
                <a:solidFill>
                  <a:schemeClr val="tx1"/>
                </a:solidFill>
              </a:ln>
              <a:effectLst/>
            </c:spPr>
          </c:marker>
          <c:dLbls>
            <c:dLbl>
              <c:idx val="1"/>
              <c:layout>
                <c:manualLayout>
                  <c:x val="-1.5299869750164287E-2"/>
                  <c:y val="-4.6177523264137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E2-41C3-BA51-F4AAE5ADE8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Comp.'!$C$5:$C$9</c:f>
              <c:numCache>
                <c:formatCode>0.0%</c:formatCode>
                <c:ptCount val="5"/>
                <c:pt idx="0">
                  <c:v>0.79513605895947426</c:v>
                </c:pt>
                <c:pt idx="1">
                  <c:v>0.11076048071783973</c:v>
                </c:pt>
                <c:pt idx="2">
                  <c:v>5.9020997929485793E-2</c:v>
                </c:pt>
                <c:pt idx="3">
                  <c:v>3.4910780224022948E-2</c:v>
                </c:pt>
                <c:pt idx="4">
                  <c:v>1.716821691773611E-4</c:v>
                </c:pt>
              </c:numCache>
            </c:numRef>
          </c:val>
          <c:smooth val="0"/>
          <c:extLst>
            <c:ext xmlns:c16="http://schemas.microsoft.com/office/drawing/2014/chart" uri="{C3380CC4-5D6E-409C-BE32-E72D297353CC}">
              <c16:uniqueId val="{00000001-B3E2-41C3-BA51-F4AAE5ADE87F}"/>
            </c:ext>
          </c:extLst>
        </c:ser>
        <c:dLbls>
          <c:showLegendKey val="0"/>
          <c:showVal val="0"/>
          <c:showCatName val="0"/>
          <c:showSerName val="0"/>
          <c:showPercent val="0"/>
          <c:showBubbleSize val="0"/>
        </c:dLbls>
        <c:marker val="1"/>
        <c:smooth val="0"/>
        <c:axId val="1219577168"/>
        <c:axId val="1219567600"/>
      </c:lineChart>
      <c:catAx>
        <c:axId val="121957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219567600"/>
        <c:crosses val="autoZero"/>
        <c:auto val="1"/>
        <c:lblAlgn val="ctr"/>
        <c:lblOffset val="100"/>
        <c:noMultiLvlLbl val="0"/>
      </c:catAx>
      <c:valAx>
        <c:axId val="12195676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21957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layout>
        <c:manualLayout>
          <c:xMode val="edge"/>
          <c:yMode val="edge"/>
          <c:x val="8.536405643469322E-2"/>
          <c:y val="2.155903750286248E-2"/>
        </c:manualLayout>
      </c:layout>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5.5405229042502285E-3"/>
          <c:y val="0.40166308756859936"/>
          <c:w val="0.97281404032146257"/>
          <c:h val="0.3626653758444128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40"/>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'V.4.2.NA. Reportes ARL'!$E$5:$E$23</c15:sqref>
                  </c15:fullRef>
                </c:ext>
              </c:extLst>
              <c:f>'V.4.2.NA. Reportes ARL'!$E$13:$E$23</c:f>
              <c:numCache>
                <c:formatCode>0.0%</c:formatCode>
                <c:ptCount val="11"/>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0.98924988055422836</c:v>
                </c:pt>
                <c:pt idx="10">
                  <c:v>0.99128306167532387</c:v>
                </c:pt>
              </c:numCache>
            </c:numRef>
          </c:val>
          <c:smooth val="0"/>
          <c:extLst>
            <c:ext xmlns:c16="http://schemas.microsoft.com/office/drawing/2014/chart" uri="{C3380CC4-5D6E-409C-BE32-E72D297353CC}">
              <c16:uniqueId val="{00000000-818C-419A-A9B3-5FD92470034E}"/>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40"/>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'V.4.2.NA. Reportes ARL'!$F$5:$F$23</c15:sqref>
                  </c15:fullRef>
                </c:ext>
              </c:extLst>
              <c:f>'V.4.2.NA. Reportes ARL'!$F$13:$F$23</c:f>
              <c:numCache>
                <c:formatCode>0.0%</c:formatCode>
                <c:ptCount val="11"/>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1.075011944577162E-2</c:v>
                </c:pt>
                <c:pt idx="10">
                  <c:v>8.7169383246761007E-3</c:v>
                </c:pt>
              </c:numCache>
            </c:numRef>
          </c:val>
          <c:smooth val="0"/>
          <c:extLst>
            <c:ext xmlns:c16="http://schemas.microsoft.com/office/drawing/2014/chart" uri="{C3380CC4-5D6E-409C-BE32-E72D297353CC}">
              <c16:uniqueId val="{00000001-818C-419A-A9B3-5FD92470034E}"/>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5.0741951281247068E-2"/>
          <c:y val="0.16327745617163711"/>
          <c:w val="0.94716161266005272"/>
          <c:h val="4.6856928968643713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Reporte de Accidentes Laborales y Enfermedades Profesionales por Empresas</a:t>
            </a:r>
          </a:p>
        </c:rich>
      </c:tx>
      <c:layout>
        <c:manualLayout>
          <c:xMode val="edge"/>
          <c:yMode val="edge"/>
          <c:x val="9.9604403616214643E-2"/>
          <c:y val="4.4455571694314897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1767910955574999E-2"/>
          <c:y val="0.34519438710937833"/>
          <c:w val="0.96820521294327255"/>
          <c:h val="0.40938359501469501"/>
        </c:manualLayout>
      </c:layout>
      <c:bar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'V.4.5. NA.Cant. accid x sector'!$B$5:$B$23</c15:sqref>
                  </c15:fullRef>
                </c:ext>
              </c:extLst>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3481</c:v>
                </c:pt>
              </c:numCache>
            </c:numRef>
          </c:val>
          <c:extLst>
            <c:ext xmlns:c16="http://schemas.microsoft.com/office/drawing/2014/chart" uri="{C3380CC4-5D6E-409C-BE32-E72D297353CC}">
              <c16:uniqueId val="{00000000-F3FC-4291-B02B-70156C84558C}"/>
            </c:ext>
          </c:extLst>
        </c:ser>
        <c:ser>
          <c:idx val="1"/>
          <c:order val="1"/>
          <c:tx>
            <c:strRef>
              <c:f>'V.4.5. NA.Cant. accid x sector'!$C$4</c:f>
              <c:strCache>
                <c:ptCount val="1"/>
                <c:pt idx="0">
                  <c:v>Sector Privado</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'V.4.5. NA.Cant. accid x sector'!$C$5:$C$23</c15:sqref>
                  </c15:fullRef>
                </c:ext>
              </c:extLst>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13268</c:v>
                </c:pt>
              </c:numCache>
            </c:numRef>
          </c:val>
          <c:extLst>
            <c:ext xmlns:c16="http://schemas.microsoft.com/office/drawing/2014/chart" uri="{C3380CC4-5D6E-409C-BE32-E72D297353CC}">
              <c16:uniqueId val="{00000001-F3FC-4291-B02B-70156C84558C}"/>
            </c:ext>
          </c:extLst>
        </c:ser>
        <c:dLbls>
          <c:showLegendKey val="0"/>
          <c:showVal val="0"/>
          <c:showCatName val="0"/>
          <c:showSerName val="0"/>
          <c:showPercent val="0"/>
          <c:showBubbleSize val="0"/>
        </c:dLbls>
        <c:gapWidth val="37"/>
        <c:axId val="436871480"/>
        <c:axId val="436871872"/>
      </c:bar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solidFill>
          <a:schemeClr val="bg1"/>
        </a:solidFill>
        <a:ln>
          <a:noFill/>
        </a:ln>
        <a:effectLst/>
      </c:spPr>
    </c:plotArea>
    <c:legend>
      <c:legendPos val="t"/>
      <c:layout>
        <c:manualLayout>
          <c:xMode val="edge"/>
          <c:yMode val="edge"/>
          <c:x val="0.18342096821230677"/>
          <c:y val="0.16110618454246614"/>
          <c:w val="0.59951394964518312"/>
          <c:h val="4.8680415674784837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4000"/>
            </a:pPr>
            <a:r>
              <a:rPr lang="es-DO" sz="4000"/>
              <a:t>Reporte de Accidentes Laborales y Enfermedades Profesionales por Sexo</a:t>
            </a:r>
          </a:p>
        </c:rich>
      </c:tx>
      <c:layout>
        <c:manualLayout>
          <c:xMode val="edge"/>
          <c:yMode val="edge"/>
          <c:x val="0.16147194751582794"/>
          <c:y val="3.6425398748233329E-3"/>
        </c:manualLayout>
      </c:layout>
      <c:overlay val="0"/>
    </c:title>
    <c:autoTitleDeleted val="0"/>
    <c:plotArea>
      <c:layout>
        <c:manualLayout>
          <c:layoutTarget val="inner"/>
          <c:xMode val="edge"/>
          <c:yMode val="edge"/>
          <c:x val="1.2824499316514918E-2"/>
          <c:y val="0.3535040379567938"/>
          <c:w val="0.96167577635269819"/>
          <c:h val="0.37637532808398949"/>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40"/>
            <c:spPr>
              <a:solidFill>
                <a:schemeClr val="bg1"/>
              </a:solidFill>
              <a:ln w="38100">
                <a:solidFill>
                  <a:srgbClr val="00539B"/>
                </a:solidFill>
              </a:ln>
            </c:spPr>
          </c:marker>
          <c:dLbls>
            <c:spPr>
              <a:noFill/>
              <a:ln>
                <a:noFill/>
              </a:ln>
              <a:effectLst/>
            </c:spPr>
            <c:txPr>
              <a:bodyPr rot="-5400000" vert="horz"/>
              <a:lstStyle/>
              <a:p>
                <a:pPr>
                  <a:defRPr sz="32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0.39309809540868113</c:v>
                </c:pt>
              </c:numCache>
            </c:numRef>
          </c:val>
          <c:smooth val="0"/>
          <c:extLst>
            <c:ext xmlns:c16="http://schemas.microsoft.com/office/drawing/2014/chart" uri="{C3380CC4-5D6E-409C-BE32-E72D297353CC}">
              <c16:uniqueId val="{00000000-64CF-48F8-9FFB-3DF7D93DBBEC}"/>
            </c:ext>
          </c:extLst>
        </c:ser>
        <c:ser>
          <c:idx val="1"/>
          <c:order val="1"/>
          <c:tx>
            <c:strRef>
              <c:f>'V.4.6. Accid x sexo'!$F$4</c:f>
              <c:strCache>
                <c:ptCount val="1"/>
                <c:pt idx="0">
                  <c:v>% Masculino</c:v>
                </c:pt>
              </c:strCache>
            </c:strRef>
          </c:tx>
          <c:spPr>
            <a:ln w="38100">
              <a:solidFill>
                <a:srgbClr val="00A94F"/>
              </a:solidFill>
            </a:ln>
          </c:spPr>
          <c:marker>
            <c:symbol val="circle"/>
            <c:size val="40"/>
            <c:spPr>
              <a:solidFill>
                <a:schemeClr val="bg1"/>
              </a:solidFill>
              <a:ln w="38100">
                <a:solidFill>
                  <a:srgbClr val="00A94F"/>
                </a:solidFill>
              </a:ln>
            </c:spPr>
          </c:marker>
          <c:dLbls>
            <c:spPr>
              <a:noFill/>
              <a:ln>
                <a:noFill/>
              </a:ln>
              <a:effectLst/>
            </c:spPr>
            <c:txPr>
              <a:bodyPr rot="-5400000" vert="horz"/>
              <a:lstStyle/>
              <a:p>
                <a:pPr>
                  <a:defRPr sz="3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Abr.2025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0.60690190459131887</c:v>
                </c:pt>
              </c:numCache>
            </c:numRef>
          </c:val>
          <c:smooth val="0"/>
          <c:extLst>
            <c:ext xmlns:c16="http://schemas.microsoft.com/office/drawing/2014/chart" uri="{C3380CC4-5D6E-409C-BE32-E72D297353CC}">
              <c16:uniqueId val="{00000001-64CF-48F8-9FFB-3DF7D93DBBEC}"/>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3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610906867003497"/>
          <c:y val="0.18146375933777509"/>
          <c:w val="0.52620582854950604"/>
          <c:h val="5.4968916721963031E-2"/>
        </c:manualLayout>
      </c:layout>
      <c:overlay val="0"/>
    </c:legend>
    <c:plotVisOnly val="1"/>
    <c:dispBlanksAs val="gap"/>
    <c:showDLblsOverMax val="0"/>
  </c:chart>
  <c:spPr>
    <a:ln>
      <a:noFill/>
    </a:ln>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4400" cap="none" baseline="0">
                <a:solidFill>
                  <a:sysClr val="windowText" lastClr="000000"/>
                </a:solidFill>
              </a:rPr>
              <a:t>Monto de Pensión Promedio  del Sistema SVDS por Tipo de Beneficio </a:t>
            </a:r>
          </a:p>
        </c:rich>
      </c:tx>
      <c:layout>
        <c:manualLayout>
          <c:xMode val="edge"/>
          <c:yMode val="edge"/>
          <c:x val="0.13009667692922466"/>
          <c:y val="2.7269409872153073E-2"/>
        </c:manualLayout>
      </c:layout>
      <c:overlay val="0"/>
      <c:spPr>
        <a:noFill/>
        <a:ln>
          <a:noFill/>
        </a:ln>
        <a:effectLst/>
      </c:spPr>
      <c:txPr>
        <a:bodyPr rot="0" spcFirstLastPara="1" vertOverflow="ellipsis" vert="horz" wrap="square" anchor="ctr" anchorCtr="1"/>
        <a:lstStyle/>
        <a:p>
          <a:pPr>
            <a:defRPr sz="4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20255041290570386"/>
          <c:w val="0.93309045468581131"/>
          <c:h val="0.3553876551947861"/>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13361</c:v>
                </c:pt>
                <c:pt idx="1">
                  <c:v>4846</c:v>
                </c:pt>
                <c:pt idx="2">
                  <c:v>16262</c:v>
                </c:pt>
                <c:pt idx="3">
                  <c:v>39362.04</c:v>
                </c:pt>
              </c:numCache>
            </c:numRef>
          </c:val>
          <c:extLst>
            <c:ext xmlns:c16="http://schemas.microsoft.com/office/drawing/2014/chart" uri="{C3380CC4-5D6E-409C-BE32-E72D297353CC}">
              <c16:uniqueId val="{00000000-77E3-4BE7-97C4-3C5878F53495}"/>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1247752322416989E-2"/>
          <c:y val="0.31381098704125399"/>
          <c:w val="0.94954776399405449"/>
          <c:h val="0.4488622765959106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6">
                  <a:shade val="95000"/>
                  <a:satMod val="105000"/>
                </a:schemeClr>
              </a:solidFill>
              <a:prstDash val="solid"/>
              <a:round/>
            </a:ln>
            <a:effectLst/>
          </c:spPr>
          <c:marker>
            <c:symbol val="diamond"/>
            <c:size val="13"/>
            <c:spPr>
              <a:solidFill>
                <a:schemeClr val="accent6"/>
              </a:solidFill>
              <a:ln w="9525" cap="flat" cmpd="sng" algn="ctr">
                <a:solidFill>
                  <a:schemeClr val="accent6">
                    <a:shade val="95000"/>
                    <a:satMod val="105000"/>
                  </a:schemeClr>
                </a:solidFill>
                <a:prstDash val="solid"/>
                <a:round/>
              </a:ln>
              <a:effectLst/>
            </c:spPr>
          </c:marker>
          <c:dLbls>
            <c:dLbl>
              <c:idx val="90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C5-47D7-8478-9393DD5BE9D1}"/>
                </c:ext>
              </c:extLst>
            </c:dLbl>
            <c:dLbl>
              <c:idx val="90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C5-47D7-8478-9393DD5BE9D1}"/>
                </c:ext>
              </c:extLst>
            </c:dLbl>
            <c:spPr>
              <a:noFill/>
              <a:ln>
                <a:noFill/>
              </a:ln>
              <a:effectLst/>
            </c:spPr>
            <c:txPr>
              <a:bodyPr rot="-5400000" spcFirstLastPara="1" vertOverflow="ellipsis"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45748</c:v>
                </c:pt>
              </c:numCache>
            </c:numRef>
          </c:cat>
          <c:val>
            <c:numRef>
              <c:extLst>
                <c:ext xmlns:c15="http://schemas.microsoft.com/office/drawing/2012/chart" uri="{02D57815-91ED-43cb-92C2-25804820EDAC}">
                  <c15:fullRef>
                    <c15:sqref>'IV.3.7. Rent. nom. de los FP'!$B$6:$B$41</c15:sqref>
                  </c15:fullRef>
                </c:ext>
              </c:extLst>
              <c:f>('IV.3.7. Rent. nom. de los FP'!$B$6:$B$19,'IV.3.7. Rent. nom. de los FP'!$B$21,'IV.3.7. Rent. nom. de los FP'!$B$23,'IV.3.7. Rent. nom. de los FP'!$B$25,'IV.3.7. Rent. nom. de los FP'!$B$27,'IV.3.7. Rent. nom. de los FP'!$B$29:$B$41)</c:f>
              <c:numCache>
                <c:formatCode>0.00%</c:formatCode>
                <c:ptCount val="11"/>
                <c:pt idx="0">
                  <c:v>0.10699132529452618</c:v>
                </c:pt>
                <c:pt idx="1">
                  <c:v>9.8297349429762718E-2</c:v>
                </c:pt>
                <c:pt idx="2">
                  <c:v>0.1082</c:v>
                </c:pt>
                <c:pt idx="3">
                  <c:v>7.7600000000000002E-2</c:v>
                </c:pt>
                <c:pt idx="4">
                  <c:v>0.10809646211624585</c:v>
                </c:pt>
                <c:pt idx="5">
                  <c:v>0.1028</c:v>
                </c:pt>
                <c:pt idx="6">
                  <c:v>0.1215</c:v>
                </c:pt>
                <c:pt idx="7">
                  <c:v>5.5199999999999999E-2</c:v>
                </c:pt>
                <c:pt idx="8">
                  <c:v>8.7400000000000005E-2</c:v>
                </c:pt>
                <c:pt idx="9">
                  <c:v>9.9900000000000003E-2</c:v>
                </c:pt>
                <c:pt idx="10">
                  <c:v>9.4E-2</c:v>
                </c:pt>
              </c:numCache>
            </c:numRef>
          </c:val>
          <c:smooth val="0"/>
          <c:extLst>
            <c:ext xmlns:c16="http://schemas.microsoft.com/office/drawing/2014/chart" uri="{C3380CC4-5D6E-409C-BE32-E72D297353CC}">
              <c16:uniqueId val="{00000002-B9C5-47D7-8478-9393DD5BE9D1}"/>
            </c:ext>
          </c:extLst>
        </c:ser>
        <c:ser>
          <c:idx val="1"/>
          <c:order val="1"/>
          <c:tx>
            <c:strRef>
              <c:f>'IV.3.7. Rent. nom. de los FP'!$C$5</c:f>
              <c:strCache>
                <c:ptCount val="1"/>
                <c:pt idx="0">
                  <c:v>Promedio Sistema</c:v>
                </c:pt>
              </c:strCache>
            </c:strRef>
          </c:tx>
          <c:spPr>
            <a:ln w="28575" cap="rnd" cmpd="sng" algn="ctr">
              <a:solidFill>
                <a:schemeClr val="accent5">
                  <a:shade val="95000"/>
                  <a:satMod val="105000"/>
                </a:schemeClr>
              </a:solidFill>
              <a:prstDash val="solid"/>
              <a:round/>
            </a:ln>
            <a:effectLst/>
          </c:spPr>
          <c:marker>
            <c:symbol val="circle"/>
            <c:size val="30"/>
            <c:spPr>
              <a:solidFill>
                <a:schemeClr val="accent5"/>
              </a:solidFill>
              <a:ln w="9525" cap="flat" cmpd="sng" algn="ctr">
                <a:solidFill>
                  <a:schemeClr val="accent5">
                    <a:shade val="95000"/>
                    <a:satMod val="105000"/>
                  </a:schemeClr>
                </a:solidFill>
                <a:prstDash val="solid"/>
                <a:round/>
              </a:ln>
              <a:effectLst/>
            </c:spPr>
          </c:marker>
          <c:dLbls>
            <c:dLbl>
              <c:idx val="90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C5-47D7-8478-9393DD5BE9D1}"/>
                </c:ext>
              </c:extLst>
            </c:dLbl>
            <c:spPr>
              <a:noFill/>
              <a:ln>
                <a:noFill/>
              </a:ln>
              <a:effectLst/>
            </c:spPr>
            <c:txPr>
              <a:bodyPr rot="-5400000" spcFirstLastPara="1" vertOverflow="ellipsis"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45748</c:v>
                </c:pt>
              </c:numCache>
            </c:numRef>
          </c:cat>
          <c:val>
            <c:numRef>
              <c:extLst>
                <c:ext xmlns:c15="http://schemas.microsoft.com/office/drawing/2012/chart" uri="{02D57815-91ED-43cb-92C2-25804820EDAC}">
                  <c15:fullRef>
                    <c15:sqref>'IV.3.7. Rent. nom. de los FP'!$C$6:$C$41</c15:sqref>
                  </c15:fullRef>
                </c:ext>
              </c:extLst>
              <c:f>('IV.3.7. Rent. nom. de los FP'!$C$6:$C$19,'IV.3.7. Rent. nom. de los FP'!$C$21,'IV.3.7. Rent. nom. de los FP'!$C$23,'IV.3.7. Rent. nom. de los FP'!$C$25,'IV.3.7. Rent. nom. de los FP'!$C$27,'IV.3.7. Rent. nom. de los FP'!$C$29:$C$41)</c:f>
              <c:numCache>
                <c:formatCode>0.00%</c:formatCode>
                <c:ptCount val="11"/>
                <c:pt idx="0">
                  <c:v>0.11080081164274938</c:v>
                </c:pt>
                <c:pt idx="1">
                  <c:v>0.10235589284546419</c:v>
                </c:pt>
                <c:pt idx="2">
                  <c:v>0.11070000000000001</c:v>
                </c:pt>
                <c:pt idx="3">
                  <c:v>8.2600000000000007E-2</c:v>
                </c:pt>
                <c:pt idx="4">
                  <c:v>0.10823910973861361</c:v>
                </c:pt>
                <c:pt idx="5">
                  <c:v>0.1021</c:v>
                </c:pt>
                <c:pt idx="6">
                  <c:v>0.12</c:v>
                </c:pt>
                <c:pt idx="7">
                  <c:v>6.0999999999999999E-2</c:v>
                </c:pt>
                <c:pt idx="8">
                  <c:v>8.8999999999999996E-2</c:v>
                </c:pt>
                <c:pt idx="9">
                  <c:v>0.1</c:v>
                </c:pt>
                <c:pt idx="10">
                  <c:v>9.6000000000000002E-2</c:v>
                </c:pt>
              </c:numCache>
            </c:numRef>
          </c:val>
          <c:smooth val="0"/>
          <c:extLst>
            <c:ext xmlns:c16="http://schemas.microsoft.com/office/drawing/2014/chart" uri="{C3380CC4-5D6E-409C-BE32-E72D297353CC}">
              <c16:uniqueId val="{00000004-B9C5-47D7-8478-9393DD5BE9D1}"/>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16850965456076139"/>
          <c:y val="0.13903504167242253"/>
          <c:w val="0.66865557006379228"/>
          <c:h val="4.995855182308663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Dispersión a las Administradora de Riesgos de Salud (ARS) </a:t>
            </a:r>
          </a:p>
        </c:rich>
      </c:tx>
      <c:layout>
        <c:manualLayout>
          <c:xMode val="edge"/>
          <c:yMode val="edge"/>
          <c:x val="0.12479338842975207"/>
          <c:y val="4.167526778747252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230261370061861"/>
          <c:y val="0.28836180604006773"/>
          <c:w val="0.82863841979559627"/>
          <c:h val="0.2485853923431984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4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'IV.2.4.Pagos x ARS'!$B$5:$B$21</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ARS'!$D$5:$D$21</c:f>
              <c:numCache>
                <c:formatCode>_(* #,##0.00_);_(* \(#,##0.00\);_(* "-"??_);_(@_)</c:formatCode>
                <c:ptCount val="17"/>
                <c:pt idx="0">
                  <c:v>7898982677.7200003</c:v>
                </c:pt>
                <c:pt idx="1">
                  <c:v>12204346038.09</c:v>
                </c:pt>
                <c:pt idx="2">
                  <c:v>3365590021.23</c:v>
                </c:pt>
                <c:pt idx="3">
                  <c:v>1784407976</c:v>
                </c:pt>
                <c:pt idx="4">
                  <c:v>975052504.16999996</c:v>
                </c:pt>
                <c:pt idx="5">
                  <c:v>2286130061.0799999</c:v>
                </c:pt>
                <c:pt idx="6">
                  <c:v>568222027.25</c:v>
                </c:pt>
                <c:pt idx="7">
                  <c:v>531564283.54000002</c:v>
                </c:pt>
                <c:pt idx="8">
                  <c:v>796691715.95000005</c:v>
                </c:pt>
                <c:pt idx="9">
                  <c:v>765821553.09000003</c:v>
                </c:pt>
                <c:pt idx="10">
                  <c:v>585935000.46000004</c:v>
                </c:pt>
                <c:pt idx="11">
                  <c:v>142550007.87</c:v>
                </c:pt>
                <c:pt idx="12">
                  <c:v>171135577.59999999</c:v>
                </c:pt>
                <c:pt idx="13">
                  <c:v>353305327.04000002</c:v>
                </c:pt>
                <c:pt idx="14">
                  <c:v>254730852.94999999</c:v>
                </c:pt>
                <c:pt idx="15">
                  <c:v>361353193.30000001</c:v>
                </c:pt>
                <c:pt idx="16">
                  <c:v>52782248.979999997</c:v>
                </c:pt>
              </c:numCache>
            </c:numRef>
          </c:val>
          <c:extLst>
            <c:ext xmlns:c16="http://schemas.microsoft.com/office/drawing/2014/chart" uri="{C3380CC4-5D6E-409C-BE32-E72D297353CC}">
              <c16:uniqueId val="{00000000-3180-43F2-A0A3-AA5ECBCD1E53}"/>
            </c:ext>
          </c:extLst>
        </c:ser>
        <c:dLbls>
          <c:showLegendKey val="0"/>
          <c:showVal val="0"/>
          <c:showCatName val="0"/>
          <c:showSerName val="0"/>
          <c:showPercent val="0"/>
          <c:showBubbleSize val="0"/>
        </c:dLbls>
        <c:gapWidth val="63"/>
        <c:axId val="342499887"/>
        <c:axId val="342506959"/>
      </c:barChart>
      <c:catAx>
        <c:axId val="34249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42506959"/>
        <c:crosses val="autoZero"/>
        <c:auto val="1"/>
        <c:lblAlgn val="ctr"/>
        <c:lblOffset val="100"/>
        <c:noMultiLvlLbl val="0"/>
      </c:catAx>
      <c:valAx>
        <c:axId val="342506959"/>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342499887"/>
        <c:crosses val="autoZero"/>
        <c:crossBetween val="between"/>
        <c:dispUnits>
          <c:builtInUnit val="billions"/>
          <c:dispUnitsLbl>
            <c:layout>
              <c:manualLayout>
                <c:xMode val="edge"/>
                <c:yMode val="edge"/>
                <c:x val="2.6992852649617149E-2"/>
                <c:y val="0.21059702418954387"/>
              </c:manualLayout>
            </c:layout>
            <c:spPr>
              <a:noFill/>
              <a:ln>
                <a:noFill/>
              </a:ln>
              <a:effectLst/>
            </c:spPr>
            <c:txPr>
              <a:bodyPr rot="-5400000" spcFirstLastPara="1" vertOverflow="ellipsis" vert="horz" wrap="square" anchor="ctr" anchorCtr="1"/>
              <a:lstStyle/>
              <a:p>
                <a:pPr>
                  <a:defRPr sz="4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ispUnitsLbl>
        </c:dispUnits>
      </c:valAx>
      <c:spPr>
        <a:noFill/>
        <a:ln>
          <a:noFill/>
        </a:ln>
        <a:effectLst/>
      </c:spPr>
    </c:plotArea>
    <c:plotVisOnly val="1"/>
    <c:dispBlanksAs val="zero"/>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Evolución Histórica de Afiliados y Cotizantes del SVDS</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121035469767346E-2"/>
          <c:y val="0.30607709623485679"/>
          <c:w val="0.94043943682863818"/>
          <c:h val="0.37723558693094394"/>
        </c:manualLayout>
      </c:layout>
      <c:barChart>
        <c:barDir val="col"/>
        <c:grouping val="clustered"/>
        <c:varyColors val="0"/>
        <c:ser>
          <c:idx val="0"/>
          <c:order val="0"/>
          <c:tx>
            <c:strRef>
              <c:f>'III.5.3.Afil. SVDS'!$B$4</c:f>
              <c:strCache>
                <c:ptCount val="1"/>
                <c:pt idx="0">
                  <c:v>Cotizantes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Abr.2025</c:v>
                </c:pt>
              </c:strCache>
            </c:strRef>
          </c:cat>
          <c:val>
            <c:numRef>
              <c:extLst>
                <c:ext xmlns:c15="http://schemas.microsoft.com/office/drawing/2012/chart" uri="{02D57815-91ED-43cb-92C2-25804820EDAC}">
                  <c15:fullRef>
                    <c15:sqref>'III.5.3.Afil. SVDS'!$B$5:$B$22</c15:sqref>
                  </c15:fullRef>
                </c:ext>
              </c:extLst>
              <c:f>'III.5.3.Afil. SVDS'!$B$12:$B$22</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2226931</c:v>
                </c:pt>
              </c:numCache>
            </c:numRef>
          </c:val>
          <c:extLst>
            <c:ext xmlns:c16="http://schemas.microsoft.com/office/drawing/2014/chart" uri="{C3380CC4-5D6E-409C-BE32-E72D297353CC}">
              <c16:uniqueId val="{00000000-EC44-40BD-9548-30CD8D40F182}"/>
            </c:ext>
          </c:extLst>
        </c:ser>
        <c:ser>
          <c:idx val="1"/>
          <c:order val="1"/>
          <c:tx>
            <c:strRef>
              <c:f>'III.5.3.Afil. SVDS'!$C$4</c:f>
              <c:strCache>
                <c:ptCount val="1"/>
                <c:pt idx="0">
                  <c:v>Afiliados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Abr.2025</c:v>
                </c:pt>
              </c:strCache>
            </c:strRef>
          </c:cat>
          <c:val>
            <c:numRef>
              <c:extLst>
                <c:ext xmlns:c15="http://schemas.microsoft.com/office/drawing/2012/chart" uri="{02D57815-91ED-43cb-92C2-25804820EDAC}">
                  <c15:fullRef>
                    <c15:sqref>'III.5.3.Afil. SVDS'!$C$5:$C$22</c15:sqref>
                  </c15:fullRef>
                </c:ext>
              </c:extLst>
              <c:f>'III.5.3.Afil. SVDS'!$C$12:$C$22</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5392563</c:v>
                </c:pt>
              </c:numCache>
            </c:numRef>
          </c:val>
          <c:extLst>
            <c:ext xmlns:c16="http://schemas.microsoft.com/office/drawing/2014/chart" uri="{C3380CC4-5D6E-409C-BE32-E72D297353CC}">
              <c16:uniqueId val="{00000001-EC44-40BD-9548-30CD8D40F182}"/>
            </c:ext>
          </c:extLst>
        </c:ser>
        <c:dLbls>
          <c:showLegendKey val="0"/>
          <c:showVal val="0"/>
          <c:showCatName val="0"/>
          <c:showSerName val="0"/>
          <c:showPercent val="0"/>
          <c:showBubbleSize val="0"/>
        </c:dLbls>
        <c:gapWidth val="70"/>
        <c:overlap val="4"/>
        <c:axId val="605987488"/>
        <c:axId val="605987904"/>
      </c:barChart>
      <c:catAx>
        <c:axId val="605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05987904"/>
        <c:crosses val="autoZero"/>
        <c:auto val="1"/>
        <c:lblAlgn val="ctr"/>
        <c:lblOffset val="100"/>
        <c:noMultiLvlLbl val="0"/>
      </c:catAx>
      <c:valAx>
        <c:axId val="605987904"/>
        <c:scaling>
          <c:orientation val="minMax"/>
        </c:scaling>
        <c:delete val="1"/>
        <c:axPos val="l"/>
        <c:numFmt formatCode="#,##0" sourceLinked="1"/>
        <c:majorTickMark val="none"/>
        <c:minorTickMark val="none"/>
        <c:tickLblPos val="nextTo"/>
        <c:crossAx val="605987488"/>
        <c:crosses val="autoZero"/>
        <c:crossBetween val="between"/>
      </c:valAx>
      <c:spPr>
        <a:noFill/>
        <a:ln>
          <a:noFill/>
        </a:ln>
        <a:effectLst/>
      </c:spPr>
    </c:plotArea>
    <c:legend>
      <c:legendPos val="b"/>
      <c:layout>
        <c:manualLayout>
          <c:xMode val="edge"/>
          <c:yMode val="edge"/>
          <c:x val="0.26516215054968661"/>
          <c:y val="8.3712314676881602E-2"/>
          <c:w val="0.46374450079861013"/>
          <c:h val="6.155795559338866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8023656696378298E-2"/>
          <c:y val="0.16448568517751069"/>
          <c:w val="0.93904437687863274"/>
          <c:h val="0.47657661624533776"/>
        </c:manualLayout>
      </c:layout>
      <c:barChart>
        <c:barDir val="col"/>
        <c:grouping val="clustered"/>
        <c:varyColors val="0"/>
        <c:ser>
          <c:idx val="0"/>
          <c:order val="1"/>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Evolucion_Capita!$E$7:$E$20</c:f>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f>Evolucion_Capita!$F$7:$F$20</c:f>
              <c:numCache>
                <c:formatCode>#,##0.00</c:formatCode>
                <c:ptCount val="14"/>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pt idx="13">
                  <c:v>1683.22</c:v>
                </c:pt>
              </c:numCache>
            </c:numRef>
          </c:val>
          <c:extLst>
            <c:ext xmlns:c16="http://schemas.microsoft.com/office/drawing/2014/chart" uri="{C3380CC4-5D6E-409C-BE32-E72D297353CC}">
              <c16:uniqueId val="{00000000-93B3-44B2-B3B0-490C8113B02E}"/>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spPr>
                  <a:solidFill>
                    <a:schemeClr val="accent1">
                      <a:tint val="77000"/>
                    </a:schemeClr>
                  </a:solidFill>
                  <a:ln>
                    <a:noFill/>
                  </a:ln>
                  <a:effectLst/>
                </c:spPr>
                <c:invertIfNegative val="0"/>
                <c:cat>
                  <c:strRef>
                    <c:extLst>
                      <c:ext uri="{02D57815-91ED-43cb-92C2-25804820EDAC}">
                        <c15:formulaRef>
                          <c15:sqref>Evolucion_Capita!$E$7:$E$20</c15:sqref>
                        </c15:formulaRef>
                      </c:ext>
                    </c:extLst>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3B3-44B2-B3B0-490C8113B02E}"/>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3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i="0" baseline="0">
                <a:solidFill>
                  <a:sysClr val="windowText" lastClr="000000"/>
                </a:solidFill>
                <a:effectLst/>
              </a:rPr>
              <a:t>Cantidad de Pensiones por Tipo de Beneficios del SVDS </a:t>
            </a:r>
            <a:endParaRPr lang="es-DO" sz="4000">
              <a:solidFill>
                <a:sysClr val="windowText" lastClr="000000"/>
              </a:solidFill>
              <a:effectLst/>
            </a:endParaRPr>
          </a:p>
        </c:rich>
      </c:tx>
      <c:layout>
        <c:manualLayout>
          <c:xMode val="edge"/>
          <c:yMode val="edge"/>
          <c:x val="0.1807619638298637"/>
          <c:y val="5.3763440860215055E-2"/>
        </c:manualLayout>
      </c:layout>
      <c:overlay val="0"/>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2950579895461795E-2"/>
          <c:y val="0.15103334692725159"/>
          <c:w val="0.90969899665551834"/>
          <c:h val="0.6838603590885800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'V.3.2 Pensiones por año'!$B$5:$D$5</c:f>
              <c:strCache>
                <c:ptCount val="3"/>
                <c:pt idx="0">
                  <c:v>Discapacidad</c:v>
                </c:pt>
                <c:pt idx="1">
                  <c:v>Sobrevivencia</c:v>
                </c:pt>
                <c:pt idx="2">
                  <c:v> Retiro Programado </c:v>
                </c:pt>
              </c:strCache>
            </c:strRef>
          </c:cat>
          <c:val>
            <c:numRef>
              <c:f>'V.3.2 Pensiones por año'!$B$25:$D$25</c:f>
              <c:numCache>
                <c:formatCode>#,##0</c:formatCode>
                <c:ptCount val="3"/>
                <c:pt idx="0">
                  <c:v>18413</c:v>
                </c:pt>
                <c:pt idx="1">
                  <c:v>16262</c:v>
                </c:pt>
                <c:pt idx="2">
                  <c:v>78</c:v>
                </c:pt>
              </c:numCache>
            </c:numRef>
          </c:val>
          <c:extLst>
            <c:ext xmlns:c16="http://schemas.microsoft.com/office/drawing/2014/chart" uri="{C3380CC4-5D6E-409C-BE32-E72D297353CC}">
              <c16:uniqueId val="{00000000-AA89-4736-ABD3-FC9F07F32D20}"/>
            </c:ext>
          </c:extLst>
        </c:ser>
        <c:dLbls>
          <c:showLegendKey val="0"/>
          <c:showVal val="0"/>
          <c:showCatName val="0"/>
          <c:showSerName val="0"/>
          <c:showPercent val="0"/>
          <c:showBubbleSize val="0"/>
        </c:dLbls>
        <c:gapWidth val="124"/>
        <c:overlap val="-27"/>
        <c:axId val="470345968"/>
        <c:axId val="470353040"/>
      </c:barChart>
      <c:catAx>
        <c:axId val="47034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70353040"/>
        <c:crosses val="autoZero"/>
        <c:auto val="1"/>
        <c:lblAlgn val="ctr"/>
        <c:lblOffset val="100"/>
        <c:noMultiLvlLbl val="0"/>
      </c:catAx>
      <c:valAx>
        <c:axId val="470353040"/>
        <c:scaling>
          <c:orientation val="minMax"/>
        </c:scaling>
        <c:delete val="1"/>
        <c:axPos val="l"/>
        <c:numFmt formatCode="#,##0" sourceLinked="1"/>
        <c:majorTickMark val="none"/>
        <c:minorTickMark val="none"/>
        <c:tickLblPos val="nextTo"/>
        <c:crossAx val="470345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solidFill>
                  <a:sysClr val="windowText" lastClr="000000"/>
                </a:solidFill>
              </a:rPr>
              <a:t>Afiliación al SRL por Grupo de Edad y Género</a:t>
            </a:r>
          </a:p>
        </c:rich>
      </c:tx>
      <c:layout>
        <c:manualLayout>
          <c:xMode val="edge"/>
          <c:yMode val="edge"/>
          <c:x val="0.20458197906608824"/>
          <c:y val="1.3551827760660353E-2"/>
        </c:manualLayout>
      </c:layout>
      <c:overlay val="0"/>
      <c:spPr>
        <a:noFill/>
        <a:ln>
          <a:noFill/>
        </a:ln>
        <a:effectLst/>
      </c:spPr>
      <c:txPr>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8.3064134972058376E-2"/>
          <c:y val="0.17112536494735911"/>
          <c:w val="0.9151656158293866"/>
          <c:h val="0.78038876109587429"/>
        </c:manualLayout>
      </c:layout>
      <c:barChart>
        <c:barDir val="bar"/>
        <c:grouping val="stacked"/>
        <c:varyColors val="0"/>
        <c:ser>
          <c:idx val="0"/>
          <c:order val="0"/>
          <c:tx>
            <c:strRef>
              <c:f>'III.6.4.Afil. SRL x sexoy edad'!$E$32</c:f>
              <c:strCache>
                <c:ptCount val="1"/>
                <c:pt idx="0">
                  <c:v> Hombres </c:v>
                </c:pt>
              </c:strCache>
            </c:strRef>
          </c:tx>
          <c:spPr>
            <a:solidFill>
              <a:schemeClr val="accent5">
                <a:lumMod val="75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60-4FED-9449-F12CC904D667}"/>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60-4FED-9449-F12CC904D667}"/>
                </c:ext>
              </c:extLst>
            </c:dLbl>
            <c:dLbl>
              <c:idx val="2"/>
              <c:layout>
                <c:manualLayout>
                  <c:x val="0.1968484027378169"/>
                  <c:y val="1.15518270496561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60-4FED-9449-F12CC904D667}"/>
                </c:ext>
              </c:extLst>
            </c:dLbl>
            <c:dLbl>
              <c:idx val="3"/>
              <c:layout>
                <c:manualLayout>
                  <c:x val="0.19837246061171124"/>
                  <c:y val="1.15518270496561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60-4FED-9449-F12CC904D667}"/>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60-4FED-9449-F12CC904D667}"/>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60-4FED-9449-F12CC904D667}"/>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60-4FED-9449-F12CC904D667}"/>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60-4FED-9449-F12CC904D667}"/>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60-4FED-9449-F12CC904D667}"/>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60-4FED-9449-F12CC904D667}"/>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60-4FED-9449-F12CC904D667}"/>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60-4FED-9449-F12CC904D667}"/>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60-4FED-9449-F12CC904D667}"/>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60-4FED-9449-F12CC904D667}"/>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60-4FED-9449-F12CC904D667}"/>
                </c:ext>
              </c:extLst>
            </c:dLbl>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26970</c:v>
                </c:pt>
                <c:pt idx="1">
                  <c:v>161086</c:v>
                </c:pt>
                <c:pt idx="2">
                  <c:v>194282</c:v>
                </c:pt>
                <c:pt idx="3">
                  <c:v>201158</c:v>
                </c:pt>
                <c:pt idx="4">
                  <c:v>172301</c:v>
                </c:pt>
                <c:pt idx="5">
                  <c:v>149069</c:v>
                </c:pt>
                <c:pt idx="6">
                  <c:v>131248</c:v>
                </c:pt>
                <c:pt idx="7">
                  <c:v>106962</c:v>
                </c:pt>
                <c:pt idx="8">
                  <c:v>85540</c:v>
                </c:pt>
                <c:pt idx="9">
                  <c:v>57750</c:v>
                </c:pt>
                <c:pt idx="10">
                  <c:v>34674</c:v>
                </c:pt>
                <c:pt idx="11">
                  <c:v>19416</c:v>
                </c:pt>
                <c:pt idx="12">
                  <c:v>9318</c:v>
                </c:pt>
                <c:pt idx="13">
                  <c:v>3863</c:v>
                </c:pt>
                <c:pt idx="14">
                  <c:v>2542</c:v>
                </c:pt>
              </c:numCache>
            </c:numRef>
          </c:val>
          <c:extLst>
            <c:ext xmlns:c16="http://schemas.microsoft.com/office/drawing/2014/chart" uri="{C3380CC4-5D6E-409C-BE32-E72D297353CC}">
              <c16:uniqueId val="{0000000F-E960-4FED-9449-F12CC904D667}"/>
            </c:ext>
          </c:extLst>
        </c:ser>
        <c:ser>
          <c:idx val="1"/>
          <c:order val="1"/>
          <c:tx>
            <c:strRef>
              <c:f>'III.6.4.Afil. SRL x sexoy edad'!$D$32</c:f>
              <c:strCache>
                <c:ptCount val="1"/>
                <c:pt idx="0">
                  <c:v> Mujeres </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60-4FED-9449-F12CC904D667}"/>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60-4FED-9449-F12CC904D667}"/>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60-4FED-9449-F12CC904D667}"/>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60-4FED-9449-F12CC904D667}"/>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60-4FED-9449-F12CC904D667}"/>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960-4FED-9449-F12CC904D667}"/>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960-4FED-9449-F12CC904D667}"/>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960-4FED-9449-F12CC904D667}"/>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960-4FED-9449-F12CC904D667}"/>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960-4FED-9449-F12CC904D667}"/>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960-4FED-9449-F12CC904D667}"/>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960-4FED-9449-F12CC904D667}"/>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960-4FED-9449-F12CC904D667}"/>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960-4FED-9449-F12CC904D667}"/>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960-4FED-9449-F12CC904D667}"/>
                </c:ext>
              </c:extLst>
            </c:dLbl>
            <c:spPr>
              <a:noFill/>
              <a:ln>
                <a:noFill/>
              </a:ln>
              <a:effectLst/>
            </c:spPr>
            <c:txPr>
              <a:bodyPr rot="0" spcFirstLastPara="1" vertOverflow="ellipsis" vert="horz" wrap="square" anchor="ctr" anchorCtr="1"/>
              <a:lstStyle/>
              <a:p>
                <a:pPr>
                  <a:defRPr sz="3200" b="0" i="0" u="none" strike="noStrike" kern="1200" baseline="0">
                    <a:solidFill>
                      <a:schemeClr val="lt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-18440</c:v>
                </c:pt>
                <c:pt idx="1">
                  <c:v>-138670</c:v>
                </c:pt>
                <c:pt idx="2">
                  <c:v>-184317</c:v>
                </c:pt>
                <c:pt idx="3">
                  <c:v>-193641</c:v>
                </c:pt>
                <c:pt idx="4">
                  <c:v>-163757</c:v>
                </c:pt>
                <c:pt idx="5">
                  <c:v>-139015</c:v>
                </c:pt>
                <c:pt idx="6">
                  <c:v>-114413</c:v>
                </c:pt>
                <c:pt idx="7">
                  <c:v>-88065</c:v>
                </c:pt>
                <c:pt idx="8">
                  <c:v>-67948</c:v>
                </c:pt>
                <c:pt idx="9">
                  <c:v>-43495</c:v>
                </c:pt>
                <c:pt idx="10">
                  <c:v>-23305</c:v>
                </c:pt>
                <c:pt idx="11">
                  <c:v>-12406</c:v>
                </c:pt>
                <c:pt idx="12">
                  <c:v>-6401</c:v>
                </c:pt>
                <c:pt idx="13">
                  <c:v>-2839</c:v>
                </c:pt>
                <c:pt idx="14">
                  <c:v>-2061</c:v>
                </c:pt>
              </c:numCache>
            </c:numRef>
          </c:val>
          <c:extLst>
            <c:ext xmlns:c16="http://schemas.microsoft.com/office/drawing/2014/chart" uri="{C3380CC4-5D6E-409C-BE32-E72D297353CC}">
              <c16:uniqueId val="{0000001F-E960-4FED-9449-F12CC904D667}"/>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029515092996797"/>
          <c:y val="9.7305260755449041E-2"/>
          <c:w val="0.37275849747037931"/>
          <c:h val="5.4570872714366475E-2"/>
        </c:manualLayout>
      </c:layout>
      <c:overlay val="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3.1168291672980998E-2"/>
          <c:y val="4.9060846560846569E-2"/>
          <c:w val="0.9552781311431322"/>
          <c:h val="0.88999552139315918"/>
        </c:manualLayout>
      </c:layout>
      <c:barChart>
        <c:barDir val="col"/>
        <c:grouping val="clustered"/>
        <c:varyColors val="0"/>
        <c:ser>
          <c:idx val="0"/>
          <c:order val="0"/>
          <c:tx>
            <c:strRef>
              <c:f>'INFOGRAFIA V4'!$O$60</c:f>
              <c:strCache>
                <c:ptCount val="1"/>
                <c:pt idx="0">
                  <c:v>Cumplido</c:v>
                </c:pt>
              </c:strCache>
            </c:strRef>
          </c:tx>
          <c:spPr>
            <a:solidFill>
              <a:schemeClr val="accent1"/>
            </a:solidFill>
            <a:ln>
              <a:noFill/>
            </a:ln>
            <a:effectLst/>
          </c:spPr>
          <c:invertIfNegative val="0"/>
          <c:cat>
            <c:strRef>
              <c:f>'INFOGRAFIA V4'!$P$59:$Q$59</c:f>
              <c:strCache>
                <c:ptCount val="2"/>
                <c:pt idx="0">
                  <c:v>Hombre</c:v>
                </c:pt>
                <c:pt idx="1">
                  <c:v>Mujeres</c:v>
                </c:pt>
              </c:strCache>
            </c:strRef>
          </c:cat>
          <c:val>
            <c:numRef>
              <c:f>'INFOGRAFIA V4'!$P$60:$Q$60</c:f>
              <c:numCache>
                <c:formatCode>0.0%</c:formatCode>
                <c:ptCount val="2"/>
                <c:pt idx="0">
                  <c:v>0.49743056936772234</c:v>
                </c:pt>
                <c:pt idx="1">
                  <c:v>0.50256943063227766</c:v>
                </c:pt>
              </c:numCache>
            </c:numRef>
          </c:val>
          <c:extLst>
            <c:ext xmlns:c16="http://schemas.microsoft.com/office/drawing/2014/chart" uri="{C3380CC4-5D6E-409C-BE32-E72D297353CC}">
              <c16:uniqueId val="{00000000-61D0-47FA-A999-8985EA0AB3DB}"/>
            </c:ext>
          </c:extLst>
        </c:ser>
        <c:ser>
          <c:idx val="1"/>
          <c:order val="1"/>
          <c:tx>
            <c:strRef>
              <c:f>'INFOGRAFIA V4'!$O$61</c:f>
              <c:strCache>
                <c:ptCount val="1"/>
                <c:pt idx="0">
                  <c:v>Meta</c:v>
                </c:pt>
              </c:strCache>
            </c:strRef>
          </c:tx>
          <c:spPr>
            <a:solidFill>
              <a:schemeClr val="accent2"/>
            </a:solidFill>
            <a:ln>
              <a:noFill/>
            </a:ln>
            <a:effectLst/>
          </c:spPr>
          <c:invertIfNegative val="0"/>
          <c:cat>
            <c:strRef>
              <c:f>'INFOGRAFIA V4'!$P$59:$Q$59</c:f>
              <c:strCache>
                <c:ptCount val="2"/>
                <c:pt idx="0">
                  <c:v>Hombre</c:v>
                </c:pt>
                <c:pt idx="1">
                  <c:v>Mujeres</c:v>
                </c:pt>
              </c:strCache>
            </c:strRef>
          </c:cat>
          <c:val>
            <c:numRef>
              <c:f>'INFOGRAFIA V4'!$P$61:$Q$61</c:f>
              <c:numCache>
                <c:formatCode>0.0%</c:formatCode>
                <c:ptCount val="2"/>
                <c:pt idx="0">
                  <c:v>1</c:v>
                </c:pt>
                <c:pt idx="1">
                  <c:v>1</c:v>
                </c:pt>
              </c:numCache>
            </c:numRef>
          </c:val>
          <c:extLst>
            <c:ext xmlns:c16="http://schemas.microsoft.com/office/drawing/2014/chart" uri="{C3380CC4-5D6E-409C-BE32-E72D297353CC}">
              <c16:uniqueId val="{00000001-61D0-47FA-A999-8985EA0AB3DB}"/>
            </c:ext>
          </c:extLst>
        </c:ser>
        <c:dLbls>
          <c:showLegendKey val="0"/>
          <c:showVal val="0"/>
          <c:showCatName val="0"/>
          <c:showSerName val="0"/>
          <c:showPercent val="0"/>
          <c:showBubbleSize val="0"/>
        </c:dLbls>
        <c:gapWidth val="219"/>
        <c:overlap val="-27"/>
        <c:axId val="605959200"/>
        <c:axId val="605950880"/>
      </c:barChart>
      <c:catAx>
        <c:axId val="6059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0880"/>
        <c:crosses val="autoZero"/>
        <c:auto val="1"/>
        <c:lblAlgn val="ctr"/>
        <c:lblOffset val="100"/>
        <c:noMultiLvlLbl val="0"/>
      </c:catAx>
      <c:valAx>
        <c:axId val="60595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84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cap="none" baseline="0"/>
              <a:t>Distribución de las Inversiones de la  Cuenta Cuidado de la Salud por Instrumento</a:t>
            </a:r>
          </a:p>
        </c:rich>
      </c:tx>
      <c:layout>
        <c:manualLayout>
          <c:xMode val="edge"/>
          <c:yMode val="edge"/>
          <c:x val="0.11757761743660367"/>
          <c:y val="1.8292682926829267E-2"/>
        </c:manualLayout>
      </c:layout>
      <c:overlay val="0"/>
      <c:spPr>
        <a:noFill/>
        <a:ln>
          <a:noFill/>
        </a:ln>
        <a:effectLst/>
      </c:spPr>
      <c:txPr>
        <a:bodyPr rot="0" spcFirstLastPara="1" vertOverflow="ellipsis" vert="horz" wrap="square" anchor="ctr" anchorCtr="1"/>
        <a:lstStyle/>
        <a:p>
          <a:pPr>
            <a:defRPr sz="384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0408374493951"/>
          <c:y val="0.18458612812287353"/>
          <c:w val="0.59926980841205169"/>
          <c:h val="0.81489355497229521"/>
        </c:manualLayout>
      </c:layout>
      <c:barChart>
        <c:barDir val="bar"/>
        <c:grouping val="clustered"/>
        <c:varyColors val="0"/>
        <c:ser>
          <c:idx val="0"/>
          <c:order val="0"/>
          <c:tx>
            <c:strRef>
              <c:f>'IV.2.7.INV_SFS x Entidad'!$B$4</c:f>
              <c:strCache>
                <c:ptCount val="1"/>
                <c:pt idx="0">
                  <c:v> Total Invertido</c:v>
                </c:pt>
              </c:strCache>
            </c:strRef>
          </c:tx>
          <c:spPr>
            <a:solidFill>
              <a:schemeClr val="accent1"/>
            </a:solidFill>
            <a:ln>
              <a:noFill/>
            </a:ln>
            <a:effectLst>
              <a:outerShdw blurRad="63500" sx="102000" sy="102000" algn="ctr" rotWithShape="0">
                <a:prstClr val="black">
                  <a:alpha val="20000"/>
                </a:prstClr>
              </a:outerShdw>
            </a:effectLst>
          </c:spPr>
          <c:invertIfNegative val="0"/>
          <c:dPt>
            <c:idx val="0"/>
            <c:invertIfNegative val="0"/>
            <c:bubble3D val="0"/>
            <c:spPr>
              <a:solidFill>
                <a:schemeClr val="accent1">
                  <a:shade val="58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415-4C39-B24C-86E67482B644}"/>
              </c:ext>
            </c:extLst>
          </c:dPt>
          <c:dPt>
            <c:idx val="1"/>
            <c:invertIfNegative val="0"/>
            <c:bubble3D val="0"/>
            <c:spPr>
              <a:solidFill>
                <a:srgbClr val="00539B"/>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415-4C39-B24C-86E67482B644}"/>
              </c:ext>
            </c:extLst>
          </c:dPt>
          <c:dPt>
            <c:idx val="2"/>
            <c:invertIfNegative val="0"/>
            <c:bubble3D val="0"/>
            <c:spPr>
              <a:solidFill>
                <a:schemeClr val="accent1">
                  <a:tint val="86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415-4C39-B24C-86E67482B644}"/>
              </c:ext>
            </c:extLst>
          </c:dPt>
          <c:dPt>
            <c:idx val="4"/>
            <c:invertIfNegative val="0"/>
            <c:bubble3D val="0"/>
            <c:spPr>
              <a:solidFill>
                <a:schemeClr val="accent1">
                  <a:tint val="3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4415-4C39-B24C-86E67482B644}"/>
              </c:ext>
            </c:extLst>
          </c:dPt>
          <c:dPt>
            <c:idx val="5"/>
            <c:invertIfNegative val="0"/>
            <c:bubble3D val="0"/>
            <c:spPr>
              <a:solidFill>
                <a:schemeClr val="accent1">
                  <a:tint val="2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4415-4C39-B24C-86E67482B644}"/>
              </c:ext>
            </c:extLst>
          </c:dPt>
          <c:dPt>
            <c:idx val="6"/>
            <c:invertIfNegative val="0"/>
            <c:bubble3D val="0"/>
            <c:spPr>
              <a:solidFill>
                <a:schemeClr val="accent1">
                  <a:tint val="74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4415-4C39-B24C-86E67482B644}"/>
              </c:ext>
            </c:extLst>
          </c:dPt>
          <c:dLbls>
            <c:spPr>
              <a:noFill/>
              <a:ln>
                <a:noFill/>
              </a:ln>
              <a:effectLst/>
            </c:spPr>
            <c:txPr>
              <a:bodyPr rot="0" spcFirstLastPara="1" vertOverflow="ellipsis" vert="horz" wrap="square" lIns="38100" tIns="19050" rIns="38100" bIns="19050" anchor="ctr" anchorCtr="1">
                <a:spAutoFit/>
              </a:bodyPr>
              <a:lstStyle/>
              <a:p>
                <a:pPr>
                  <a:defRPr sz="3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1198918249.05</c:v>
                </c:pt>
                <c:pt idx="1">
                  <c:v>756526872.90999997</c:v>
                </c:pt>
                <c:pt idx="2">
                  <c:v>455000000</c:v>
                </c:pt>
              </c:numCache>
            </c:numRef>
          </c:val>
          <c:extLst>
            <c:ext xmlns:c16="http://schemas.microsoft.com/office/drawing/2014/chart" uri="{C3380CC4-5D6E-409C-BE32-E72D297353CC}">
              <c16:uniqueId val="{0000000E-4415-4C39-B24C-86E67482B644}"/>
            </c:ext>
          </c:extLst>
        </c:ser>
        <c:dLbls>
          <c:showLegendKey val="0"/>
          <c:showVal val="0"/>
          <c:showCatName val="0"/>
          <c:showSerName val="0"/>
          <c:showPercent val="0"/>
          <c:showBubbleSize val="0"/>
        </c:dLbls>
        <c:gapWidth val="56"/>
        <c:overlap val="16"/>
        <c:axId val="1032695888"/>
        <c:axId val="1167040864"/>
      </c:barChart>
      <c:valAx>
        <c:axId val="1167040864"/>
        <c:scaling>
          <c:orientation val="minMax"/>
        </c:scaling>
        <c:delete val="1"/>
        <c:axPos val="b"/>
        <c:numFmt formatCode="_(* #,##0.00_);_(* \(#,##0.00\);_(* &quot;-&quot;??_);_(@_)" sourceLinked="1"/>
        <c:majorTickMark val="out"/>
        <c:minorTickMark val="none"/>
        <c:tickLblPos val="nextTo"/>
        <c:crossAx val="1032695888"/>
        <c:crosses val="autoZero"/>
        <c:crossBetween val="between"/>
      </c:valAx>
      <c:catAx>
        <c:axId val="103269588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16704086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01900603337378E-2"/>
          <c:y val="4.8330946619920011E-2"/>
          <c:w val="0.83175374338690056"/>
          <c:h val="0.81004524754563922"/>
        </c:manualLayout>
      </c:layout>
      <c:doughnutChart>
        <c:varyColors val="1"/>
        <c:ser>
          <c:idx val="0"/>
          <c:order val="0"/>
          <c:spPr>
            <a:solidFill>
              <a:schemeClr val="accent5">
                <a:lumMod val="75000"/>
              </a:schemeClr>
            </a:solidFill>
            <a:ln>
              <a:solidFill>
                <a:schemeClr val="bg1"/>
              </a:solidFill>
            </a:ln>
          </c:spPr>
          <c:explosion val="10"/>
          <c:dPt>
            <c:idx val="0"/>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1-BFB5-454C-81A8-7A8AEA7A1711}"/>
              </c:ext>
            </c:extLst>
          </c:dPt>
          <c:dPt>
            <c:idx val="1"/>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3-BFB5-454C-81A8-7A8AEA7A1711}"/>
              </c:ext>
            </c:extLst>
          </c:dPt>
          <c:dPt>
            <c:idx val="2"/>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5-BFB5-454C-81A8-7A8AEA7A1711}"/>
              </c:ext>
            </c:extLst>
          </c:dPt>
          <c:dPt>
            <c:idx val="3"/>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7-BFB5-454C-81A8-7A8AEA7A1711}"/>
              </c:ext>
            </c:extLst>
          </c:dPt>
          <c:dPt>
            <c:idx val="4"/>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9-BFB5-454C-81A8-7A8AEA7A1711}"/>
              </c:ext>
            </c:extLst>
          </c:dPt>
          <c:dPt>
            <c:idx val="5"/>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B-BFB5-454C-81A8-7A8AEA7A1711}"/>
              </c:ext>
            </c:extLst>
          </c:dPt>
          <c:dPt>
            <c:idx val="6"/>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D-BFB5-454C-81A8-7A8AEA7A1711}"/>
              </c:ext>
            </c:extLst>
          </c:dPt>
          <c:dPt>
            <c:idx val="7"/>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0F-BFB5-454C-81A8-7A8AEA7A1711}"/>
              </c:ext>
            </c:extLst>
          </c:dPt>
          <c:dPt>
            <c:idx val="8"/>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1-BFB5-454C-81A8-7A8AEA7A1711}"/>
              </c:ext>
            </c:extLst>
          </c:dPt>
          <c:dPt>
            <c:idx val="9"/>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3-BFB5-454C-81A8-7A8AEA7A1711}"/>
              </c:ext>
            </c:extLst>
          </c:dPt>
          <c:dPt>
            <c:idx val="10"/>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5-BFB5-454C-81A8-7A8AEA7A1711}"/>
              </c:ext>
            </c:extLst>
          </c:dPt>
          <c:dPt>
            <c:idx val="11"/>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7-BFB5-454C-81A8-7A8AEA7A1711}"/>
              </c:ext>
            </c:extLst>
          </c:dPt>
          <c:dPt>
            <c:idx val="12"/>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9-BFB5-454C-81A8-7A8AEA7A1711}"/>
              </c:ext>
            </c:extLst>
          </c:dPt>
          <c:dPt>
            <c:idx val="13"/>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B-BFB5-454C-81A8-7A8AEA7A1711}"/>
              </c:ext>
            </c:extLst>
          </c:dPt>
          <c:dPt>
            <c:idx val="14"/>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D-BFB5-454C-81A8-7A8AEA7A1711}"/>
              </c:ext>
            </c:extLst>
          </c:dPt>
          <c:dPt>
            <c:idx val="15"/>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1F-BFB5-454C-81A8-7A8AEA7A1711}"/>
              </c:ext>
            </c:extLst>
          </c:dPt>
          <c:dPt>
            <c:idx val="16"/>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21-BFB5-454C-81A8-7A8AEA7A1711}"/>
              </c:ext>
            </c:extLst>
          </c:dPt>
          <c:dPt>
            <c:idx val="17"/>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23-BFB5-454C-81A8-7A8AEA7A1711}"/>
              </c:ext>
            </c:extLst>
          </c:dPt>
          <c:dPt>
            <c:idx val="18"/>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25-BFB5-454C-81A8-7A8AEA7A1711}"/>
              </c:ext>
            </c:extLst>
          </c:dPt>
          <c:dPt>
            <c:idx val="19"/>
            <c:bubble3D val="0"/>
            <c:spPr>
              <a:solidFill>
                <a:schemeClr val="accent5">
                  <a:lumMod val="75000"/>
                </a:schemeClr>
              </a:solidFill>
              <a:ln w="19050">
                <a:solidFill>
                  <a:schemeClr val="bg1"/>
                </a:solidFill>
              </a:ln>
              <a:effectLst/>
            </c:spPr>
            <c:extLst>
              <c:ext xmlns:c16="http://schemas.microsoft.com/office/drawing/2014/chart" uri="{C3380CC4-5D6E-409C-BE32-E72D297353CC}">
                <c16:uniqueId val="{00000027-BFB5-454C-81A8-7A8AEA7A1711}"/>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BFB5-454C-81A8-7A8AEA7A1711}"/>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'INFOGRAFIA.GENERO.V1'!$AD$14</c:f>
              <c:strCache>
                <c:ptCount val="1"/>
                <c:pt idx="0">
                  <c:v>Cantidad</c:v>
                </c:pt>
              </c:strCache>
            </c:strRef>
          </c:tx>
          <c:dPt>
            <c:idx val="0"/>
            <c:bubble3D val="0"/>
            <c:spPr>
              <a:noFill/>
              <a:ln w="19050">
                <a:solidFill>
                  <a:schemeClr val="lt1"/>
                </a:solidFill>
              </a:ln>
              <a:effectLst/>
            </c:spPr>
            <c:extLst>
              <c:ext xmlns:c16="http://schemas.microsoft.com/office/drawing/2014/chart" uri="{C3380CC4-5D6E-409C-BE32-E72D297353CC}">
                <c16:uniqueId val="{0000002A-BFB5-454C-81A8-7A8AEA7A1711}"/>
              </c:ext>
            </c:extLst>
          </c:dPt>
          <c:dPt>
            <c:idx val="1"/>
            <c:bubble3D val="0"/>
            <c:spPr>
              <a:solidFill>
                <a:schemeClr val="bg1">
                  <a:alpha val="73000"/>
                </a:schemeClr>
              </a:solidFill>
              <a:ln w="19050">
                <a:solidFill>
                  <a:schemeClr val="lt1"/>
                </a:solidFill>
              </a:ln>
              <a:effectLst/>
            </c:spPr>
            <c:extLst>
              <c:ext xmlns:c16="http://schemas.microsoft.com/office/drawing/2014/chart" uri="{C3380CC4-5D6E-409C-BE32-E72D297353CC}">
                <c16:uniqueId val="{0000002C-BFB5-454C-81A8-7A8AEA7A1711}"/>
              </c:ext>
            </c:extLst>
          </c:dPt>
          <c:val>
            <c:numRef>
              <c:f>'INFOGRAFIA.GENERO.V1'!$AE$15:$AF$15</c:f>
              <c:numCache>
                <c:formatCode>0.00%</c:formatCode>
                <c:ptCount val="2"/>
                <c:pt idx="0">
                  <c:v>0.49822986759628168</c:v>
                </c:pt>
                <c:pt idx="1">
                  <c:v>0.50177013240371837</c:v>
                </c:pt>
              </c:numCache>
            </c:numRef>
          </c:val>
          <c:extLst>
            <c:ext xmlns:c16="http://schemas.microsoft.com/office/drawing/2014/chart" uri="{C3380CC4-5D6E-409C-BE32-E72D297353CC}">
              <c16:uniqueId val="{0000002D-BFB5-454C-81A8-7A8AEA7A1711}"/>
            </c:ext>
          </c:extLst>
        </c:ser>
        <c:dLbls>
          <c:showLegendKey val="0"/>
          <c:showVal val="0"/>
          <c:showCatName val="0"/>
          <c:showSerName val="0"/>
          <c:showPercent val="0"/>
          <c:showBubbleSize val="0"/>
          <c:showLeaderLines val="0"/>
        </c:dLbls>
        <c:firstSliceAng val="0"/>
        <c:holeSize val="56"/>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62431822667734E-2"/>
          <c:y val="0.10101646363505046"/>
          <c:w val="0.85740535439321375"/>
          <c:h val="0.83053165698353848"/>
        </c:manualLayout>
      </c:layout>
      <c:doughnutChart>
        <c:varyColors val="1"/>
        <c:ser>
          <c:idx val="0"/>
          <c:order val="0"/>
          <c:spPr>
            <a:solidFill>
              <a:schemeClr val="accent6">
                <a:lumMod val="75000"/>
              </a:schemeClr>
            </a:solidFill>
            <a:ln>
              <a:solidFill>
                <a:schemeClr val="bg1"/>
              </a:solidFill>
            </a:ln>
          </c:spPr>
          <c:explosion val="10"/>
          <c:dPt>
            <c:idx val="0"/>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1-DAFF-4DD3-9B56-87B078C250DA}"/>
              </c:ext>
            </c:extLst>
          </c:dPt>
          <c:dPt>
            <c:idx val="1"/>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3-DAFF-4DD3-9B56-87B078C250DA}"/>
              </c:ext>
            </c:extLst>
          </c:dPt>
          <c:dPt>
            <c:idx val="2"/>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5-DAFF-4DD3-9B56-87B078C250DA}"/>
              </c:ext>
            </c:extLst>
          </c:dPt>
          <c:dPt>
            <c:idx val="3"/>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7-DAFF-4DD3-9B56-87B078C250DA}"/>
              </c:ext>
            </c:extLst>
          </c:dPt>
          <c:dPt>
            <c:idx val="4"/>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9-DAFF-4DD3-9B56-87B078C250DA}"/>
              </c:ext>
            </c:extLst>
          </c:dPt>
          <c:dPt>
            <c:idx val="5"/>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B-DAFF-4DD3-9B56-87B078C250DA}"/>
              </c:ext>
            </c:extLst>
          </c:dPt>
          <c:dPt>
            <c:idx val="6"/>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D-DAFF-4DD3-9B56-87B078C250DA}"/>
              </c:ext>
            </c:extLst>
          </c:dPt>
          <c:dPt>
            <c:idx val="7"/>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0F-DAFF-4DD3-9B56-87B078C250DA}"/>
              </c:ext>
            </c:extLst>
          </c:dPt>
          <c:dPt>
            <c:idx val="8"/>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1-DAFF-4DD3-9B56-87B078C250DA}"/>
              </c:ext>
            </c:extLst>
          </c:dPt>
          <c:dPt>
            <c:idx val="9"/>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3-DAFF-4DD3-9B56-87B078C250DA}"/>
              </c:ext>
            </c:extLst>
          </c:dPt>
          <c:dPt>
            <c:idx val="10"/>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5-DAFF-4DD3-9B56-87B078C250DA}"/>
              </c:ext>
            </c:extLst>
          </c:dPt>
          <c:dPt>
            <c:idx val="11"/>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7-DAFF-4DD3-9B56-87B078C250DA}"/>
              </c:ext>
            </c:extLst>
          </c:dPt>
          <c:dPt>
            <c:idx val="12"/>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9-DAFF-4DD3-9B56-87B078C250DA}"/>
              </c:ext>
            </c:extLst>
          </c:dPt>
          <c:dPt>
            <c:idx val="13"/>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B-DAFF-4DD3-9B56-87B078C250DA}"/>
              </c:ext>
            </c:extLst>
          </c:dPt>
          <c:dPt>
            <c:idx val="14"/>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D-DAFF-4DD3-9B56-87B078C250DA}"/>
              </c:ext>
            </c:extLst>
          </c:dPt>
          <c:dPt>
            <c:idx val="15"/>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1F-DAFF-4DD3-9B56-87B078C250DA}"/>
              </c:ext>
            </c:extLst>
          </c:dPt>
          <c:dPt>
            <c:idx val="16"/>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21-DAFF-4DD3-9B56-87B078C250DA}"/>
              </c:ext>
            </c:extLst>
          </c:dPt>
          <c:dPt>
            <c:idx val="17"/>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23-DAFF-4DD3-9B56-87B078C250DA}"/>
              </c:ext>
            </c:extLst>
          </c:dPt>
          <c:dPt>
            <c:idx val="18"/>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25-DAFF-4DD3-9B56-87B078C250DA}"/>
              </c:ext>
            </c:extLst>
          </c:dPt>
          <c:dPt>
            <c:idx val="19"/>
            <c:bubble3D val="0"/>
            <c:spPr>
              <a:solidFill>
                <a:schemeClr val="accent6">
                  <a:lumMod val="75000"/>
                </a:schemeClr>
              </a:solidFill>
              <a:ln w="19050">
                <a:solidFill>
                  <a:schemeClr val="bg1"/>
                </a:solidFill>
              </a:ln>
              <a:effectLst/>
            </c:spPr>
            <c:extLst>
              <c:ext xmlns:c16="http://schemas.microsoft.com/office/drawing/2014/chart" uri="{C3380CC4-5D6E-409C-BE32-E72D297353CC}">
                <c16:uniqueId val="{00000027-DAFF-4DD3-9B56-87B078C250D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DAFF-4DD3-9B56-87B078C250DA}"/>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'INFOGRAFIA.GENERO.V1'!$AI$14</c:f>
              <c:strCache>
                <c:ptCount val="1"/>
                <c:pt idx="0">
                  <c:v>Cantidad</c:v>
                </c:pt>
              </c:strCache>
            </c:strRef>
          </c:tx>
          <c:explosion val="1"/>
          <c:dPt>
            <c:idx val="0"/>
            <c:bubble3D val="0"/>
            <c:spPr>
              <a:noFill/>
              <a:ln w="19050">
                <a:solidFill>
                  <a:schemeClr val="lt1"/>
                </a:solidFill>
              </a:ln>
              <a:effectLst/>
            </c:spPr>
            <c:extLst>
              <c:ext xmlns:c16="http://schemas.microsoft.com/office/drawing/2014/chart" uri="{C3380CC4-5D6E-409C-BE32-E72D297353CC}">
                <c16:uniqueId val="{0000002A-DAFF-4DD3-9B56-87B078C250DA}"/>
              </c:ext>
            </c:extLst>
          </c:dPt>
          <c:dPt>
            <c:idx val="1"/>
            <c:bubble3D val="0"/>
            <c:spPr>
              <a:solidFill>
                <a:schemeClr val="bg1">
                  <a:alpha val="86000"/>
                </a:schemeClr>
              </a:solidFill>
              <a:ln w="19050">
                <a:solidFill>
                  <a:schemeClr val="lt1"/>
                </a:solidFill>
              </a:ln>
              <a:effectLst/>
            </c:spPr>
            <c:extLst>
              <c:ext xmlns:c16="http://schemas.microsoft.com/office/drawing/2014/chart" uri="{C3380CC4-5D6E-409C-BE32-E72D297353CC}">
                <c16:uniqueId val="{0000002C-DAFF-4DD3-9B56-87B078C250DA}"/>
              </c:ext>
            </c:extLst>
          </c:dPt>
          <c:val>
            <c:numRef>
              <c:f>'INFOGRAFIA.GENERO.V1'!$AJ$15:$AK$15</c:f>
              <c:numCache>
                <c:formatCode>0.00%</c:formatCode>
                <c:ptCount val="2"/>
                <c:pt idx="0">
                  <c:v>0.49711732098272299</c:v>
                </c:pt>
                <c:pt idx="1">
                  <c:v>0.50288267901727701</c:v>
                </c:pt>
              </c:numCache>
            </c:numRef>
          </c:val>
          <c:extLst>
            <c:ext xmlns:c16="http://schemas.microsoft.com/office/drawing/2014/chart" uri="{C3380CC4-5D6E-409C-BE32-E72D297353CC}">
              <c16:uniqueId val="{0000002D-DAFF-4DD3-9B56-87B078C250D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18893438799342E-2"/>
          <c:y val="5.5125150622665174E-2"/>
          <c:w val="0.76709172773985512"/>
          <c:h val="0.88580880597055878"/>
        </c:manualLayout>
      </c:layout>
      <c:doughnutChart>
        <c:varyColors val="1"/>
        <c:ser>
          <c:idx val="0"/>
          <c:order val="0"/>
          <c:spPr>
            <a:solidFill>
              <a:schemeClr val="accent2">
                <a:lumMod val="75000"/>
              </a:schemeClr>
            </a:solidFill>
            <a:ln>
              <a:solidFill>
                <a:schemeClr val="bg1"/>
              </a:solidFill>
            </a:ln>
          </c:spPr>
          <c:explosion val="10"/>
          <c:dPt>
            <c:idx val="0"/>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1-C8AC-4242-907C-69255671BB4D}"/>
              </c:ext>
            </c:extLst>
          </c:dPt>
          <c:dPt>
            <c:idx val="1"/>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3-C8AC-4242-907C-69255671BB4D}"/>
              </c:ext>
            </c:extLst>
          </c:dPt>
          <c:dPt>
            <c:idx val="2"/>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5-C8AC-4242-907C-69255671BB4D}"/>
              </c:ext>
            </c:extLst>
          </c:dPt>
          <c:dPt>
            <c:idx val="3"/>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7-C8AC-4242-907C-69255671BB4D}"/>
              </c:ext>
            </c:extLst>
          </c:dPt>
          <c:dPt>
            <c:idx val="4"/>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9-C8AC-4242-907C-69255671BB4D}"/>
              </c:ext>
            </c:extLst>
          </c:dPt>
          <c:dPt>
            <c:idx val="5"/>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B-C8AC-4242-907C-69255671BB4D}"/>
              </c:ext>
            </c:extLst>
          </c:dPt>
          <c:dPt>
            <c:idx val="6"/>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D-C8AC-4242-907C-69255671BB4D}"/>
              </c:ext>
            </c:extLst>
          </c:dPt>
          <c:dPt>
            <c:idx val="7"/>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0F-C8AC-4242-907C-69255671BB4D}"/>
              </c:ext>
            </c:extLst>
          </c:dPt>
          <c:dPt>
            <c:idx val="8"/>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1-C8AC-4242-907C-69255671BB4D}"/>
              </c:ext>
            </c:extLst>
          </c:dPt>
          <c:dPt>
            <c:idx val="9"/>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3-C8AC-4242-907C-69255671BB4D}"/>
              </c:ext>
            </c:extLst>
          </c:dPt>
          <c:dPt>
            <c:idx val="10"/>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5-C8AC-4242-907C-69255671BB4D}"/>
              </c:ext>
            </c:extLst>
          </c:dPt>
          <c:dPt>
            <c:idx val="11"/>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7-C8AC-4242-907C-69255671BB4D}"/>
              </c:ext>
            </c:extLst>
          </c:dPt>
          <c:dPt>
            <c:idx val="12"/>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9-C8AC-4242-907C-69255671BB4D}"/>
              </c:ext>
            </c:extLst>
          </c:dPt>
          <c:dPt>
            <c:idx val="13"/>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B-C8AC-4242-907C-69255671BB4D}"/>
              </c:ext>
            </c:extLst>
          </c:dPt>
          <c:dPt>
            <c:idx val="14"/>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D-C8AC-4242-907C-69255671BB4D}"/>
              </c:ext>
            </c:extLst>
          </c:dPt>
          <c:dPt>
            <c:idx val="15"/>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1F-C8AC-4242-907C-69255671BB4D}"/>
              </c:ext>
            </c:extLst>
          </c:dPt>
          <c:dPt>
            <c:idx val="16"/>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21-C8AC-4242-907C-69255671BB4D}"/>
              </c:ext>
            </c:extLst>
          </c:dPt>
          <c:dPt>
            <c:idx val="17"/>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23-C8AC-4242-907C-69255671BB4D}"/>
              </c:ext>
            </c:extLst>
          </c:dPt>
          <c:dPt>
            <c:idx val="18"/>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25-C8AC-4242-907C-69255671BB4D}"/>
              </c:ext>
            </c:extLst>
          </c:dPt>
          <c:dPt>
            <c:idx val="19"/>
            <c:bubble3D val="0"/>
            <c:spPr>
              <a:solidFill>
                <a:schemeClr val="accent2">
                  <a:lumMod val="75000"/>
                </a:schemeClr>
              </a:solidFill>
              <a:ln w="19050">
                <a:solidFill>
                  <a:schemeClr val="bg1"/>
                </a:solidFill>
              </a:ln>
              <a:effectLst/>
            </c:spPr>
            <c:extLst>
              <c:ext xmlns:c16="http://schemas.microsoft.com/office/drawing/2014/chart" uri="{C3380CC4-5D6E-409C-BE32-E72D297353CC}">
                <c16:uniqueId val="{00000027-C8AC-4242-907C-69255671BB4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8AC-4242-907C-69255671BB4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'INFOGRAFIA.GENERO.V1'!$AD$29</c:f>
              <c:strCache>
                <c:ptCount val="1"/>
                <c:pt idx="0">
                  <c:v>Cotizantes</c:v>
                </c:pt>
              </c:strCache>
            </c:strRef>
          </c:tx>
          <c:dPt>
            <c:idx val="0"/>
            <c:bubble3D val="0"/>
            <c:spPr>
              <a:solidFill>
                <a:schemeClr val="bg1">
                  <a:alpha val="85000"/>
                </a:schemeClr>
              </a:solidFill>
              <a:ln w="19050">
                <a:solidFill>
                  <a:schemeClr val="bg1"/>
                </a:solidFill>
              </a:ln>
              <a:effectLst/>
            </c:spPr>
            <c:extLst>
              <c:ext xmlns:c16="http://schemas.microsoft.com/office/drawing/2014/chart" uri="{C3380CC4-5D6E-409C-BE32-E72D297353CC}">
                <c16:uniqueId val="{0000002A-C8AC-4242-907C-69255671BB4D}"/>
              </c:ext>
            </c:extLst>
          </c:dPt>
          <c:dPt>
            <c:idx val="1"/>
            <c:bubble3D val="0"/>
            <c:spPr>
              <a:noFill/>
              <a:ln w="19050">
                <a:solidFill>
                  <a:schemeClr val="lt1"/>
                </a:solidFill>
              </a:ln>
              <a:effectLst/>
            </c:spPr>
            <c:extLst>
              <c:ext xmlns:c16="http://schemas.microsoft.com/office/drawing/2014/chart" uri="{C3380CC4-5D6E-409C-BE32-E72D297353CC}">
                <c16:uniqueId val="{0000002C-C8AC-4242-907C-69255671BB4D}"/>
              </c:ext>
            </c:extLst>
          </c:dPt>
          <c:val>
            <c:numRef>
              <c:f>'INFOGRAFIA.GENERO.V1'!$AE$30:$AF$30</c:f>
              <c:numCache>
                <c:formatCode>0.00%</c:formatCode>
                <c:ptCount val="2"/>
                <c:pt idx="0">
                  <c:v>0.51995467292393982</c:v>
                </c:pt>
                <c:pt idx="1">
                  <c:v>0.48004532707606018</c:v>
                </c:pt>
              </c:numCache>
            </c:numRef>
          </c:val>
          <c:extLst>
            <c:ext xmlns:c16="http://schemas.microsoft.com/office/drawing/2014/chart" uri="{C3380CC4-5D6E-409C-BE32-E72D297353CC}">
              <c16:uniqueId val="{0000002D-C8AC-4242-907C-69255671BB4D}"/>
            </c:ext>
          </c:extLst>
        </c:ser>
        <c:dLbls>
          <c:showLegendKey val="0"/>
          <c:showVal val="0"/>
          <c:showCatName val="0"/>
          <c:showSerName val="0"/>
          <c:showPercent val="0"/>
          <c:showBubbleSize val="0"/>
          <c:showLeaderLines val="0"/>
        </c:dLbls>
        <c:firstSliceAng val="0"/>
        <c:holeSize val="56"/>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73094523145284E-2"/>
          <c:y val="0.12955244786828307"/>
          <c:w val="0.89594182234152719"/>
          <c:h val="0.81989581854274041"/>
        </c:manualLayout>
      </c:layout>
      <c:doughnutChart>
        <c:varyColors val="1"/>
        <c:ser>
          <c:idx val="0"/>
          <c:order val="0"/>
          <c:spPr>
            <a:solidFill>
              <a:schemeClr val="accent4">
                <a:lumMod val="50000"/>
              </a:schemeClr>
            </a:solidFill>
            <a:ln>
              <a:solidFill>
                <a:schemeClr val="bg1"/>
              </a:solidFill>
            </a:ln>
          </c:spPr>
          <c:dPt>
            <c:idx val="0"/>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1-A312-41C0-A012-ECF891D2A3C4}"/>
              </c:ext>
            </c:extLst>
          </c:dPt>
          <c:dPt>
            <c:idx val="1"/>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3-A312-41C0-A012-ECF891D2A3C4}"/>
              </c:ext>
            </c:extLst>
          </c:dPt>
          <c:dPt>
            <c:idx val="2"/>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5-A312-41C0-A012-ECF891D2A3C4}"/>
              </c:ext>
            </c:extLst>
          </c:dPt>
          <c:dPt>
            <c:idx val="3"/>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7-A312-41C0-A012-ECF891D2A3C4}"/>
              </c:ext>
            </c:extLst>
          </c:dPt>
          <c:dPt>
            <c:idx val="4"/>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9-A312-41C0-A012-ECF891D2A3C4}"/>
              </c:ext>
            </c:extLst>
          </c:dPt>
          <c:dPt>
            <c:idx val="5"/>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B-A312-41C0-A012-ECF891D2A3C4}"/>
              </c:ext>
            </c:extLst>
          </c:dPt>
          <c:dPt>
            <c:idx val="6"/>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D-A312-41C0-A012-ECF891D2A3C4}"/>
              </c:ext>
            </c:extLst>
          </c:dPt>
          <c:dPt>
            <c:idx val="7"/>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0F-A312-41C0-A012-ECF891D2A3C4}"/>
              </c:ext>
            </c:extLst>
          </c:dPt>
          <c:dPt>
            <c:idx val="8"/>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1-A312-41C0-A012-ECF891D2A3C4}"/>
              </c:ext>
            </c:extLst>
          </c:dPt>
          <c:dPt>
            <c:idx val="9"/>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3-A312-41C0-A012-ECF891D2A3C4}"/>
              </c:ext>
            </c:extLst>
          </c:dPt>
          <c:dPt>
            <c:idx val="10"/>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5-A312-41C0-A012-ECF891D2A3C4}"/>
              </c:ext>
            </c:extLst>
          </c:dPt>
          <c:dPt>
            <c:idx val="11"/>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7-A312-41C0-A012-ECF891D2A3C4}"/>
              </c:ext>
            </c:extLst>
          </c:dPt>
          <c:dPt>
            <c:idx val="12"/>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9-A312-41C0-A012-ECF891D2A3C4}"/>
              </c:ext>
            </c:extLst>
          </c:dPt>
          <c:dPt>
            <c:idx val="13"/>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B-A312-41C0-A012-ECF891D2A3C4}"/>
              </c:ext>
            </c:extLst>
          </c:dPt>
          <c:dPt>
            <c:idx val="14"/>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D-A312-41C0-A012-ECF891D2A3C4}"/>
              </c:ext>
            </c:extLst>
          </c:dPt>
          <c:dPt>
            <c:idx val="15"/>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1F-A312-41C0-A012-ECF891D2A3C4}"/>
              </c:ext>
            </c:extLst>
          </c:dPt>
          <c:dPt>
            <c:idx val="16"/>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21-A312-41C0-A012-ECF891D2A3C4}"/>
              </c:ext>
            </c:extLst>
          </c:dPt>
          <c:dPt>
            <c:idx val="17"/>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23-A312-41C0-A012-ECF891D2A3C4}"/>
              </c:ext>
            </c:extLst>
          </c:dPt>
          <c:dPt>
            <c:idx val="18"/>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25-A312-41C0-A012-ECF891D2A3C4}"/>
              </c:ext>
            </c:extLst>
          </c:dPt>
          <c:dPt>
            <c:idx val="19"/>
            <c:bubble3D val="0"/>
            <c:spPr>
              <a:solidFill>
                <a:schemeClr val="accent4">
                  <a:lumMod val="50000"/>
                </a:schemeClr>
              </a:solidFill>
              <a:ln w="19050">
                <a:solidFill>
                  <a:schemeClr val="bg1"/>
                </a:solidFill>
              </a:ln>
              <a:effectLst/>
            </c:spPr>
            <c:extLst>
              <c:ext xmlns:c16="http://schemas.microsoft.com/office/drawing/2014/chart" uri="{C3380CC4-5D6E-409C-BE32-E72D297353CC}">
                <c16:uniqueId val="{00000027-A312-41C0-A012-ECF891D2A3C4}"/>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312-41C0-A012-ECF891D2A3C4}"/>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'INFOGRAFIA.GENERO.V1'!$AI$29</c:f>
              <c:strCache>
                <c:ptCount val="1"/>
                <c:pt idx="0">
                  <c:v>Afiliados</c:v>
                </c:pt>
              </c:strCache>
            </c:strRef>
          </c:tx>
          <c:dPt>
            <c:idx val="0"/>
            <c:bubble3D val="0"/>
            <c:spPr>
              <a:noFill/>
              <a:ln w="19050">
                <a:solidFill>
                  <a:schemeClr val="lt1"/>
                </a:solidFill>
              </a:ln>
              <a:effectLst/>
            </c:spPr>
            <c:extLst>
              <c:ext xmlns:c16="http://schemas.microsoft.com/office/drawing/2014/chart" uri="{C3380CC4-5D6E-409C-BE32-E72D297353CC}">
                <c16:uniqueId val="{0000002A-A312-41C0-A012-ECF891D2A3C4}"/>
              </c:ext>
            </c:extLst>
          </c:dPt>
          <c:dPt>
            <c:idx val="1"/>
            <c:bubble3D val="0"/>
            <c:spPr>
              <a:solidFill>
                <a:schemeClr val="bg1">
                  <a:alpha val="77000"/>
                </a:schemeClr>
              </a:solidFill>
              <a:ln w="19050">
                <a:solidFill>
                  <a:schemeClr val="lt1"/>
                </a:solidFill>
              </a:ln>
              <a:effectLst/>
            </c:spPr>
            <c:extLst>
              <c:ext xmlns:c16="http://schemas.microsoft.com/office/drawing/2014/chart" uri="{C3380CC4-5D6E-409C-BE32-E72D297353CC}">
                <c16:uniqueId val="{0000002C-A312-41C0-A012-ECF891D2A3C4}"/>
              </c:ext>
            </c:extLst>
          </c:dPt>
          <c:val>
            <c:numRef>
              <c:f>'INFOGRAFIA.GENERO.V1'!$AJ$30:$AK$30</c:f>
              <c:numCache>
                <c:formatCode>0.00%</c:formatCode>
                <c:ptCount val="2"/>
                <c:pt idx="0">
                  <c:v>0.54586972874078743</c:v>
                </c:pt>
                <c:pt idx="1">
                  <c:v>0.45413027125921251</c:v>
                </c:pt>
              </c:numCache>
            </c:numRef>
          </c:val>
          <c:extLst>
            <c:ext xmlns:c16="http://schemas.microsoft.com/office/drawing/2014/chart" uri="{C3380CC4-5D6E-409C-BE32-E72D297353CC}">
              <c16:uniqueId val="{0000002D-A312-41C0-A012-ECF891D2A3C4}"/>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3478784232346"/>
          <c:y val="0.22057525416571269"/>
          <c:w val="0.84635456121515129"/>
          <c:h val="0.77879652866468241"/>
        </c:manualLayout>
      </c:layout>
      <c:barChart>
        <c:barDir val="bar"/>
        <c:grouping val="stacked"/>
        <c:varyColors val="0"/>
        <c:ser>
          <c:idx val="0"/>
          <c:order val="0"/>
          <c:tx>
            <c:strRef>
              <c:f>'[8]III.6.4.Afil. SRL x sexoy edad'!$E$32</c:f>
              <c:strCache>
                <c:ptCount val="1"/>
                <c:pt idx="0">
                  <c:v>Hombres</c:v>
                </c:pt>
              </c:strCache>
            </c:strRef>
          </c:tx>
          <c:spPr>
            <a:solidFill>
              <a:schemeClr val="accent1"/>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4D-46D9-8FE7-FE89BCF3AD31}"/>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4D-46D9-8FE7-FE89BCF3AD31}"/>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4D-46D9-8FE7-FE89BCF3AD31}"/>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4D-46D9-8FE7-FE89BCF3AD31}"/>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4D-46D9-8FE7-FE89BCF3AD31}"/>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4D-46D9-8FE7-FE89BCF3AD31}"/>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4D-46D9-8FE7-FE89BCF3AD31}"/>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4D-46D9-8FE7-FE89BCF3AD31}"/>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4D-46D9-8FE7-FE89BCF3AD31}"/>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4D-46D9-8FE7-FE89BCF3AD31}"/>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4D-46D9-8FE7-FE89BCF3AD31}"/>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4D-46D9-8FE7-FE89BCF3AD31}"/>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4D-46D9-8FE7-FE89BCF3AD31}"/>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4D-46D9-8FE7-FE89BCF3AD31}"/>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4D-46D9-8FE7-FE89BCF3AD31}"/>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Bahnschrift SemiLight SemiCondeo)" panose="020B0502040204020203" pitchFamily="34" charset="0"/>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'[8]III.6.4.Afil. SRL x sexoy edad'!$E$33:$E$47</c:f>
              <c:numCache>
                <c:formatCode>General</c:formatCode>
                <c:ptCount val="15"/>
                <c:pt idx="0">
                  <c:v>24804</c:v>
                </c:pt>
                <c:pt idx="1">
                  <c:v>161692</c:v>
                </c:pt>
                <c:pt idx="2">
                  <c:v>194205</c:v>
                </c:pt>
                <c:pt idx="3">
                  <c:v>200402</c:v>
                </c:pt>
                <c:pt idx="4">
                  <c:v>165290</c:v>
                </c:pt>
                <c:pt idx="5">
                  <c:v>150760</c:v>
                </c:pt>
                <c:pt idx="6">
                  <c:v>124550</c:v>
                </c:pt>
                <c:pt idx="7">
                  <c:v>104649</c:v>
                </c:pt>
                <c:pt idx="8">
                  <c:v>82495</c:v>
                </c:pt>
                <c:pt idx="9">
                  <c:v>55574</c:v>
                </c:pt>
                <c:pt idx="10">
                  <c:v>32870</c:v>
                </c:pt>
                <c:pt idx="11">
                  <c:v>18075</c:v>
                </c:pt>
                <c:pt idx="12">
                  <c:v>8579</c:v>
                </c:pt>
                <c:pt idx="13">
                  <c:v>3914</c:v>
                </c:pt>
                <c:pt idx="14">
                  <c:v>2403</c:v>
                </c:pt>
              </c:numCache>
            </c:numRef>
          </c:val>
          <c:extLst>
            <c:ext xmlns:c16="http://schemas.microsoft.com/office/drawing/2014/chart" uri="{C3380CC4-5D6E-409C-BE32-E72D297353CC}">
              <c16:uniqueId val="{0000000F-534D-46D9-8FE7-FE89BCF3AD31}"/>
            </c:ext>
          </c:extLst>
        </c:ser>
        <c:ser>
          <c:idx val="1"/>
          <c:order val="1"/>
          <c:tx>
            <c:strRef>
              <c:f>'[8]III.6.4.Afil. SRL x sexoy edad'!$D$32</c:f>
              <c:strCache>
                <c:ptCount val="1"/>
                <c:pt idx="0">
                  <c:v>Mujeres</c:v>
                </c:pt>
              </c:strCache>
            </c:strRef>
          </c:tx>
          <c:spPr>
            <a:solidFill>
              <a:srgbClr val="FF66CC"/>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4D-46D9-8FE7-FE89BCF3AD31}"/>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4D-46D9-8FE7-FE89BCF3AD31}"/>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4D-46D9-8FE7-FE89BCF3AD31}"/>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34D-46D9-8FE7-FE89BCF3AD31}"/>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34D-46D9-8FE7-FE89BCF3AD31}"/>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34D-46D9-8FE7-FE89BCF3AD31}"/>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34D-46D9-8FE7-FE89BCF3AD31}"/>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34D-46D9-8FE7-FE89BCF3AD31}"/>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34D-46D9-8FE7-FE89BCF3AD31}"/>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34D-46D9-8FE7-FE89BCF3AD31}"/>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34D-46D9-8FE7-FE89BCF3AD31}"/>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34D-46D9-8FE7-FE89BCF3AD31}"/>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34D-46D9-8FE7-FE89BCF3AD31}"/>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34D-46D9-8FE7-FE89BCF3AD31}"/>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34D-46D9-8FE7-FE89BCF3AD31}"/>
                </c:ext>
              </c:extLst>
            </c:dLbl>
            <c:spPr>
              <a:noFill/>
              <a:ln>
                <a:noFill/>
              </a:ln>
              <a:effectLst/>
            </c:spPr>
            <c:txPr>
              <a:bodyPr rot="0" spcFirstLastPara="1" vertOverflow="ellipsis" vert="horz" wrap="square" anchor="ctr" anchorCtr="1"/>
              <a:lstStyle/>
              <a:p>
                <a:pPr>
                  <a:defRPr sz="1100" b="0" i="0" u="none" strike="noStrike" kern="1200" baseline="0">
                    <a:solidFill>
                      <a:srgbClr val="883879"/>
                    </a:solidFill>
                    <a:latin typeface="Bahnschrift SemiLight SemiCondeo)" panose="020B0502040204020203" pitchFamily="34" charset="0"/>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'[8]III.6.4.Afil. SRL x sexoy edad'!$D$33:$D$47</c:f>
              <c:numCache>
                <c:formatCode>General</c:formatCode>
                <c:ptCount val="15"/>
                <c:pt idx="0">
                  <c:v>-17596</c:v>
                </c:pt>
                <c:pt idx="1">
                  <c:v>-137431</c:v>
                </c:pt>
                <c:pt idx="2">
                  <c:v>-179110</c:v>
                </c:pt>
                <c:pt idx="3">
                  <c:v>-185935</c:v>
                </c:pt>
                <c:pt idx="4">
                  <c:v>-152786</c:v>
                </c:pt>
                <c:pt idx="5">
                  <c:v>-135175</c:v>
                </c:pt>
                <c:pt idx="6">
                  <c:v>-106994</c:v>
                </c:pt>
                <c:pt idx="7">
                  <c:v>-84420</c:v>
                </c:pt>
                <c:pt idx="8">
                  <c:v>-65620</c:v>
                </c:pt>
                <c:pt idx="9">
                  <c:v>-40836</c:v>
                </c:pt>
                <c:pt idx="10">
                  <c:v>-21574</c:v>
                </c:pt>
                <c:pt idx="11">
                  <c:v>-11579</c:v>
                </c:pt>
                <c:pt idx="12">
                  <c:v>-5820</c:v>
                </c:pt>
                <c:pt idx="13">
                  <c:v>-2778</c:v>
                </c:pt>
                <c:pt idx="14">
                  <c:v>-1872</c:v>
                </c:pt>
              </c:numCache>
            </c:numRef>
          </c:val>
          <c:extLst>
            <c:ext xmlns:c16="http://schemas.microsoft.com/office/drawing/2014/chart" uri="{C3380CC4-5D6E-409C-BE32-E72D297353CC}">
              <c16:uniqueId val="{0000001F-534D-46D9-8FE7-FE89BCF3AD31}"/>
            </c:ext>
          </c:extLst>
        </c:ser>
        <c:dLbls>
          <c:dLblPos val="ctr"/>
          <c:showLegendKey val="0"/>
          <c:showVal val="1"/>
          <c:showCatName val="0"/>
          <c:showSerName val="0"/>
          <c:showPercent val="0"/>
          <c:showBubbleSize val="0"/>
        </c:dLbls>
        <c:gapWidth val="19"/>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Bahnschrift SemiLight SemiCondeo)" panose="020B0502040204020203" pitchFamily="34" charset="0"/>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General" sourceLinked="1"/>
        <c:majorTickMark val="none"/>
        <c:minorTickMark val="none"/>
        <c:tickLblPos val="nextTo"/>
        <c:crossAx val="408899024"/>
        <c:crosses val="autoZero"/>
        <c:crossBetween val="between"/>
      </c:valAx>
      <c:spPr>
        <a:noFill/>
        <a:ln>
          <a:noFill/>
        </a:ln>
        <a:effectLst/>
      </c:spPr>
    </c:plotArea>
    <c:legend>
      <c:legendPos val="r"/>
      <c:layout>
        <c:manualLayout>
          <c:xMode val="edge"/>
          <c:yMode val="edge"/>
          <c:x val="0.6069664937681829"/>
          <c:y val="0.26279503505298635"/>
          <c:w val="0.31740424453007182"/>
          <c:h val="7.687879398829473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Bahnschrift SemiLight SemiCondeo)" panose="020B0502040204020203" pitchFamily="34" charset="0"/>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sz="1100">
          <a:latin typeface="Bahnschrift SemiLight SemiCondeo)" panose="020B0502040204020203" pitchFamily="34" charset="0"/>
        </a:defRPr>
      </a:pPr>
      <a:endParaRPr lang="es-DO"/>
    </a:p>
  </c:txPr>
  <c:printSettings>
    <c:headerFooter/>
    <c:pageMargins b="0.75" l="0.7" r="0.7" t="0.75" header="0.3" footer="0.3"/>
    <c:pageSetup orientation="portrait"/>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32143549920910652"/>
          <c:w val="0.95787280176454215"/>
          <c:h val="0.52800835208715435"/>
        </c:manualLayout>
      </c:layout>
      <c:lineChart>
        <c:grouping val="stacked"/>
        <c:varyColors val="0"/>
        <c:ser>
          <c:idx val="0"/>
          <c:order val="0"/>
          <c:tx>
            <c:strRef>
              <c:f>'[8]V.4.6. Accid x sexo'!$E$4</c:f>
              <c:strCache>
                <c:ptCount val="1"/>
                <c:pt idx="0">
                  <c:v>% Femenino</c:v>
                </c:pt>
              </c:strCache>
            </c:strRef>
          </c:tx>
          <c:spPr>
            <a:ln w="38100">
              <a:solidFill>
                <a:schemeClr val="accent5">
                  <a:lumMod val="75000"/>
                </a:schemeClr>
              </a:solidFill>
            </a:ln>
          </c:spPr>
          <c:marker>
            <c:symbol val="circle"/>
            <c:size val="12"/>
            <c:spPr>
              <a:solidFill>
                <a:schemeClr val="bg1"/>
              </a:solidFill>
              <a:ln w="38100">
                <a:solidFill>
                  <a:srgbClr val="00539B"/>
                </a:solidFill>
              </a:ln>
            </c:spPr>
          </c:marker>
          <c:dLbls>
            <c:numFmt formatCode="#,##0.00" sourceLinked="0"/>
            <c:spPr>
              <a:noFill/>
              <a:ln>
                <a:noFill/>
              </a:ln>
              <a:effectLst/>
            </c:spPr>
            <c:txPr>
              <a:bodyPr/>
              <a:lstStyle/>
              <a:p>
                <a:pPr>
                  <a:defRPr sz="14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'[9]V.4.6. Accid x sexo'!$A$5:$A$22</c:f>
              <c:strCache>
                <c:ptCount val="18"/>
              </c:strCache>
            </c:strRef>
          </c:cat>
          <c:val>
            <c:numRef>
              <c:f>'[9]V.4.6. Accid x sexo'!$E$5:$E$22</c:f>
              <c:numCache>
                <c:formatCode>General</c:formatCode>
                <c:ptCount val="18"/>
              </c:numCache>
            </c:numRef>
          </c:val>
          <c:smooth val="0"/>
          <c:extLst>
            <c:ext xmlns:c16="http://schemas.microsoft.com/office/drawing/2014/chart" uri="{C3380CC4-5D6E-409C-BE32-E72D297353CC}">
              <c16:uniqueId val="{00000000-43D7-44AA-801E-511A5693D37D}"/>
            </c:ext>
          </c:extLst>
        </c:ser>
        <c:ser>
          <c:idx val="1"/>
          <c:order val="1"/>
          <c:tx>
            <c:strRef>
              <c:f>'[8]V.4.6. Accid x sexo'!$F$4</c:f>
              <c:strCache>
                <c:ptCount val="1"/>
                <c:pt idx="0">
                  <c:v>% Masculino</c:v>
                </c:pt>
              </c:strCache>
            </c:strRef>
          </c:tx>
          <c:spPr>
            <a:ln w="38100">
              <a:solidFill>
                <a:schemeClr val="accent6">
                  <a:lumMod val="50000"/>
                </a:schemeClr>
              </a:solidFill>
            </a:ln>
          </c:spPr>
          <c:marker>
            <c:symbol val="circle"/>
            <c:size val="11"/>
            <c:spPr>
              <a:solidFill>
                <a:schemeClr val="bg1"/>
              </a:solidFill>
              <a:ln w="38100">
                <a:solidFill>
                  <a:schemeClr val="accent6">
                    <a:lumMod val="50000"/>
                  </a:schemeClr>
                </a:solidFill>
              </a:ln>
            </c:spPr>
          </c:marker>
          <c:dLbls>
            <c:numFmt formatCode="#,##0.00" sourceLinked="0"/>
            <c:spPr>
              <a:noFill/>
              <a:ln>
                <a:noFill/>
              </a:ln>
              <a:effectLst/>
            </c:spPr>
            <c:txPr>
              <a:bodyPr/>
              <a:lstStyle/>
              <a:p>
                <a:pPr>
                  <a:defRPr sz="105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'[9]V.4.6. Accid x sexo'!$A$5:$A$22</c:f>
              <c:strCache>
                <c:ptCount val="18"/>
              </c:strCache>
            </c:strRef>
          </c:cat>
          <c:val>
            <c:numRef>
              <c:f>'[9]V.4.6. Accid x sexo'!$F$5:$F$22</c:f>
              <c:numCache>
                <c:formatCode>General</c:formatCode>
                <c:ptCount val="18"/>
              </c:numCache>
            </c:numRef>
          </c:val>
          <c:smooth val="0"/>
          <c:extLst>
            <c:ext xmlns:c16="http://schemas.microsoft.com/office/drawing/2014/chart" uri="{C3380CC4-5D6E-409C-BE32-E72D297353CC}">
              <c16:uniqueId val="{00000001-43D7-44AA-801E-511A5693D37D}"/>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General" sourceLinked="1"/>
        <c:majorTickMark val="out"/>
        <c:minorTickMark val="none"/>
        <c:tickLblPos val="nextTo"/>
        <c:crossAx val="436872656"/>
        <c:crosses val="autoZero"/>
        <c:crossBetween val="between"/>
      </c:valAx>
    </c:plotArea>
    <c:legend>
      <c:legendPos val="t"/>
      <c:layout>
        <c:manualLayout>
          <c:xMode val="edge"/>
          <c:yMode val="edge"/>
          <c:x val="0.15743532142153843"/>
          <c:y val="0.1505054523116732"/>
          <c:w val="0.68193416488393566"/>
          <c:h val="5.4968916721963031E-2"/>
        </c:manualLayout>
      </c:layout>
      <c:overlay val="0"/>
      <c:txPr>
        <a:bodyPr/>
        <a:lstStyle/>
        <a:p>
          <a:pPr>
            <a:defRPr sz="1600"/>
          </a:pPr>
          <a:endParaRPr lang="es-DO"/>
        </a:p>
      </c:txPr>
    </c:legend>
    <c:plotVisOnly val="1"/>
    <c:dispBlanksAs val="gap"/>
    <c:showDLblsOverMax val="0"/>
  </c:chart>
  <c:spPr>
    <a:ln>
      <a:noFill/>
    </a:ln>
  </c:spPr>
  <c:txPr>
    <a:bodyPr/>
    <a:lstStyle/>
    <a:p>
      <a:pPr>
        <a:defRPr sz="1050">
          <a:latin typeface="Bahnschrift SemiLight SemiCondeo)" panose="020B0502040204020203"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4764095977364525E-2"/>
          <c:y val="0.18072864814312004"/>
          <c:w val="0.91511438729733252"/>
          <c:h val="0.39685099707364163"/>
        </c:manualLayout>
      </c:layout>
      <c:barChart>
        <c:barDir val="col"/>
        <c:grouping val="clustered"/>
        <c:varyColors val="0"/>
        <c:ser>
          <c:idx val="0"/>
          <c:order val="0"/>
          <c:tx>
            <c:strRef>
              <c:f>'IV.2.4.Pagos x ARS'!$C$4</c:f>
              <c:strCache>
                <c:ptCount val="1"/>
                <c:pt idx="0">
                  <c:v>Total General
2022- Mar.25</c:v>
                </c:pt>
              </c:strCache>
            </c:strRef>
          </c:tx>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5DB-4157-8775-A33458D530F7}"/>
              </c:ext>
            </c:extLst>
          </c:dPt>
          <c:dPt>
            <c:idx val="1"/>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5DB-4157-8775-A33458D530F7}"/>
              </c:ext>
            </c:extLst>
          </c:dPt>
          <c:dPt>
            <c:idx val="2"/>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5DB-4157-8775-A33458D530F7}"/>
              </c:ext>
            </c:extLst>
          </c:dPt>
          <c:dPt>
            <c:idx val="3"/>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5DB-4157-8775-A33458D530F7}"/>
              </c:ext>
            </c:extLst>
          </c:dPt>
          <c:dPt>
            <c:idx val="4"/>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5DB-4157-8775-A33458D530F7}"/>
              </c:ext>
            </c:extLst>
          </c:dPt>
          <c:dPt>
            <c:idx val="5"/>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5DB-4157-8775-A33458D530F7}"/>
              </c:ext>
            </c:extLst>
          </c:dPt>
          <c:dPt>
            <c:idx val="6"/>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5DB-4157-8775-A33458D530F7}"/>
              </c:ext>
            </c:extLst>
          </c:dPt>
          <c:dPt>
            <c:idx val="7"/>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5DB-4157-8775-A33458D530F7}"/>
              </c:ext>
            </c:extLst>
          </c:dPt>
          <c:dPt>
            <c:idx val="8"/>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F5DB-4157-8775-A33458D530F7}"/>
              </c:ext>
            </c:extLst>
          </c:dPt>
          <c:dPt>
            <c:idx val="9"/>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F5DB-4157-8775-A33458D530F7}"/>
              </c:ext>
            </c:extLst>
          </c:dPt>
          <c:dPt>
            <c:idx val="10"/>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F5DB-4157-8775-A33458D530F7}"/>
              </c:ext>
            </c:extLst>
          </c:dPt>
          <c:dPt>
            <c:idx val="11"/>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F5DB-4157-8775-A33458D530F7}"/>
              </c:ext>
            </c:extLst>
          </c:dPt>
          <c:dPt>
            <c:idx val="12"/>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F5DB-4157-8775-A33458D530F7}"/>
              </c:ext>
            </c:extLst>
          </c:dPt>
          <c:dPt>
            <c:idx val="13"/>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F5DB-4157-8775-A33458D530F7}"/>
              </c:ext>
            </c:extLst>
          </c:dPt>
          <c:dPt>
            <c:idx val="14"/>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F5DB-4157-8775-A33458D530F7}"/>
              </c:ext>
            </c:extLst>
          </c:dPt>
          <c:dPt>
            <c:idx val="15"/>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F5DB-4157-8775-A33458D530F7}"/>
              </c:ext>
            </c:extLst>
          </c:dPt>
          <c:dPt>
            <c:idx val="16"/>
            <c:invertIfNegative val="0"/>
            <c:bubble3D val="0"/>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F5DB-4157-8775-A33458D530F7}"/>
              </c:ext>
            </c:extLst>
          </c:dPt>
          <c:dLbls>
            <c:dLbl>
              <c:idx val="0"/>
              <c:layout>
                <c:manualLayout>
                  <c:x val="-2.1739130434782743E-3"/>
                  <c:y val="-2.1924561129575688E-3"/>
                </c:manualLayout>
              </c:layout>
              <c:spPr>
                <a:noFill/>
                <a:ln>
                  <a:noFill/>
                </a:ln>
                <a:effectLst/>
              </c:spPr>
              <c:txPr>
                <a:bodyPr rot="-5400000" spcFirstLastPara="1" vertOverflow="ellipsis" wrap="square" anchor="ctr" anchorCtr="1"/>
                <a:lstStyle/>
                <a:p>
                  <a:pPr>
                    <a:defRPr sz="3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B-4157-8775-A33458D530F7}"/>
                </c:ext>
              </c:extLst>
            </c:dLbl>
            <c:dLbl>
              <c:idx val="1"/>
              <c:layout>
                <c:manualLayout>
                  <c:x val="0"/>
                  <c:y val="-1.354401805869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B-4157-8775-A33458D530F7}"/>
                </c:ext>
              </c:extLst>
            </c:dLbl>
            <c:spPr>
              <a:noFill/>
              <a:ln>
                <a:noFill/>
              </a:ln>
              <a:effectLst/>
            </c:spPr>
            <c:txPr>
              <a:bodyPr rot="-5400000" spcFirstLastPara="1" vertOverflow="ellipsis" wrap="square" anchor="ctr" anchorCtr="1"/>
              <a:lstStyle/>
              <a:p>
                <a:pPr>
                  <a:defRPr sz="3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78984301567.919998</c:v>
                </c:pt>
                <c:pt idx="1">
                  <c:v>101027098480.34</c:v>
                </c:pt>
                <c:pt idx="2">
                  <c:v>34074020683.290001</c:v>
                </c:pt>
                <c:pt idx="3">
                  <c:v>18109868672.18</c:v>
                </c:pt>
                <c:pt idx="4">
                  <c:v>9251795854.6900005</c:v>
                </c:pt>
                <c:pt idx="5">
                  <c:v>17167594394.73</c:v>
                </c:pt>
                <c:pt idx="6">
                  <c:v>5382272715.7600002</c:v>
                </c:pt>
                <c:pt idx="7">
                  <c:v>5198594029.3700008</c:v>
                </c:pt>
                <c:pt idx="8">
                  <c:v>6101061518.6900005</c:v>
                </c:pt>
                <c:pt idx="9">
                  <c:v>6518807335.6100006</c:v>
                </c:pt>
                <c:pt idx="10">
                  <c:v>3542691735.5999999</c:v>
                </c:pt>
                <c:pt idx="11">
                  <c:v>1741202877.03</c:v>
                </c:pt>
                <c:pt idx="12">
                  <c:v>1618374163.6300001</c:v>
                </c:pt>
                <c:pt idx="13">
                  <c:v>2575775033.1199999</c:v>
                </c:pt>
                <c:pt idx="14">
                  <c:v>2364364759.3199997</c:v>
                </c:pt>
                <c:pt idx="15">
                  <c:v>2877654915.77</c:v>
                </c:pt>
                <c:pt idx="16">
                  <c:v>485261756.27999997</c:v>
                </c:pt>
              </c:numCache>
            </c:numRef>
          </c:val>
          <c:extLst>
            <c:ext xmlns:c16="http://schemas.microsoft.com/office/drawing/2014/chart" uri="{C3380CC4-5D6E-409C-BE32-E72D297353CC}">
              <c16:uniqueId val="{0000003A-F5DB-4157-8775-A33458D530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t" anchorCtr="0"/>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Bahnschrift SemiCondensed" panose="020B0502040204020203" pitchFamily="34" charset="0"/>
              <a:ea typeface="+mn-ea"/>
              <a:cs typeface="+mn-cs"/>
            </a:defRPr>
          </a:pPr>
          <a:endParaRPr lang="es-DO"/>
        </a:p>
      </c:txPr>
    </c:title>
    <c:autoTitleDeleted val="0"/>
    <c:plotArea>
      <c:layout>
        <c:manualLayout>
          <c:layoutTarget val="inner"/>
          <c:xMode val="edge"/>
          <c:yMode val="edge"/>
          <c:x val="0.20883107317796629"/>
          <c:y val="0.28266259922643405"/>
          <c:w val="0.70419238107537463"/>
          <c:h val="0.68222396176833766"/>
        </c:manualLayout>
      </c:layout>
      <c:barChart>
        <c:barDir val="bar"/>
        <c:grouping val="clustered"/>
        <c:varyColors val="0"/>
        <c:ser>
          <c:idx val="1"/>
          <c:order val="0"/>
          <c:tx>
            <c:strRef>
              <c:f>'INFOGRAFIA.GENERO.V1'!$W$31</c:f>
              <c:strCache>
                <c:ptCount val="1"/>
                <c:pt idx="0">
                  <c:v>Femenino</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Bahnschrift SemiCondensed" panose="020B0502040204020203"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'INFOGRAFIA.GENERO.V1'!$X$29:$Z$29</c:f>
              <c:strCache>
                <c:ptCount val="3"/>
                <c:pt idx="0">
                  <c:v> Titulares RC</c:v>
                </c:pt>
                <c:pt idx="1">
                  <c:v>Dependientes   </c:v>
                </c:pt>
                <c:pt idx="2">
                  <c:v>Depend.  Directos  </c:v>
                </c:pt>
              </c:strCache>
            </c:strRef>
          </c:cat>
          <c:val>
            <c:numRef>
              <c:f>'INFOGRAFIA.GENERO.V1'!$X$31:$Z$31</c:f>
              <c:numCache>
                <c:formatCode>#,##0</c:formatCode>
                <c:ptCount val="3"/>
                <c:pt idx="0">
                  <c:v>928503</c:v>
                </c:pt>
                <c:pt idx="1">
                  <c:v>1234461</c:v>
                </c:pt>
                <c:pt idx="2">
                  <c:v>178880</c:v>
                </c:pt>
              </c:numCache>
            </c:numRef>
          </c:val>
          <c:extLst>
            <c:ext xmlns:c16="http://schemas.microsoft.com/office/drawing/2014/chart" uri="{C3380CC4-5D6E-409C-BE32-E72D297353CC}">
              <c16:uniqueId val="{00000000-0972-473F-B5CE-21A5C056DADF}"/>
            </c:ext>
          </c:extLst>
        </c:ser>
        <c:ser>
          <c:idx val="0"/>
          <c:order val="1"/>
          <c:tx>
            <c:strRef>
              <c:f>'INFOGRAFIA.GENERO.V1'!$W$30</c:f>
              <c:strCache>
                <c:ptCount val="1"/>
                <c:pt idx="0">
                  <c:v>Masculino</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Bahnschrift SemiCondensed" panose="020B0502040204020203"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'INFOGRAFIA.GENERO.V1'!$X$29:$Z$29</c:f>
              <c:strCache>
                <c:ptCount val="3"/>
                <c:pt idx="0">
                  <c:v> Titulares RC</c:v>
                </c:pt>
                <c:pt idx="1">
                  <c:v>Dependientes   </c:v>
                </c:pt>
                <c:pt idx="2">
                  <c:v>Depend.  Directos  </c:v>
                </c:pt>
              </c:strCache>
            </c:strRef>
          </c:cat>
          <c:val>
            <c:numRef>
              <c:f>'INFOGRAFIA.GENERO.V1'!$X$30:$Z$30</c:f>
              <c:numCache>
                <c:formatCode>#,##0</c:formatCode>
                <c:ptCount val="3"/>
                <c:pt idx="0">
                  <c:v>1208335</c:v>
                </c:pt>
                <c:pt idx="1">
                  <c:v>1034847</c:v>
                </c:pt>
                <c:pt idx="2">
                  <c:v>82139</c:v>
                </c:pt>
              </c:numCache>
            </c:numRef>
          </c:val>
          <c:extLst>
            <c:ext xmlns:c16="http://schemas.microsoft.com/office/drawing/2014/chart" uri="{C3380CC4-5D6E-409C-BE32-E72D297353CC}">
              <c16:uniqueId val="{00000001-0972-473F-B5CE-21A5C056DADF}"/>
            </c:ext>
          </c:extLst>
        </c:ser>
        <c:dLbls>
          <c:showLegendKey val="0"/>
          <c:showVal val="0"/>
          <c:showCatName val="0"/>
          <c:showSerName val="0"/>
          <c:showPercent val="0"/>
          <c:showBubbleSize val="0"/>
        </c:dLbls>
        <c:gapWidth val="53"/>
        <c:overlap val="-11"/>
        <c:axId val="2019701583"/>
        <c:axId val="2019684527"/>
      </c:barChart>
      <c:catAx>
        <c:axId val="20197015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Bahnschrift SemiCondensed" panose="020B0502040204020203" pitchFamily="34" charset="0"/>
                <a:ea typeface="+mn-ea"/>
                <a:cs typeface="+mn-cs"/>
              </a:defRPr>
            </a:pPr>
            <a:endParaRPr lang="es-DO"/>
          </a:p>
        </c:txPr>
        <c:crossAx val="2019684527"/>
        <c:crosses val="autoZero"/>
        <c:auto val="1"/>
        <c:lblAlgn val="ctr"/>
        <c:lblOffset val="100"/>
        <c:noMultiLvlLbl val="0"/>
      </c:catAx>
      <c:valAx>
        <c:axId val="2019684527"/>
        <c:scaling>
          <c:orientation val="minMax"/>
        </c:scaling>
        <c:delete val="1"/>
        <c:axPos val="b"/>
        <c:numFmt formatCode="#,##0" sourceLinked="1"/>
        <c:majorTickMark val="none"/>
        <c:minorTickMark val="none"/>
        <c:tickLblPos val="nextTo"/>
        <c:crossAx val="2019701583"/>
        <c:crosses val="autoZero"/>
        <c:crossBetween val="between"/>
      </c:valAx>
      <c:spPr>
        <a:noFill/>
        <a:ln>
          <a:noFill/>
        </a:ln>
        <a:effectLst/>
      </c:spPr>
    </c:plotArea>
    <c:legend>
      <c:legendPos val="b"/>
      <c:layout>
        <c:manualLayout>
          <c:xMode val="edge"/>
          <c:yMode val="edge"/>
          <c:x val="0.25975216278190028"/>
          <c:y val="0.22066811530503985"/>
          <c:w val="0.57498435095608791"/>
          <c:h val="4.543613323869612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Bahnschrift SemiCondensed" panose="020B0502040204020203"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Bahnschrift SemiCondensed" panose="020B0502040204020203" pitchFamily="34" charset="0"/>
        </a:defRPr>
      </a:pPr>
      <a:endParaRPr lang="es-DO"/>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Bahnschrift SemiLight SemiCondeo)" panose="020B0502040204020203" pitchFamily="34" charset="0"/>
              <a:ea typeface="+mn-ea"/>
              <a:cs typeface="+mn-cs"/>
            </a:defRPr>
          </a:pPr>
          <a:endParaRPr lang="es-DO"/>
        </a:p>
      </c:txPr>
    </c:title>
    <c:autoTitleDeleted val="0"/>
    <c:plotArea>
      <c:layout>
        <c:manualLayout>
          <c:layoutTarget val="inner"/>
          <c:xMode val="edge"/>
          <c:yMode val="edge"/>
          <c:x val="3.3911198157786954E-2"/>
          <c:y val="0.29652687355410157"/>
          <c:w val="0.96282534615516568"/>
          <c:h val="0.62014911755512625"/>
        </c:manualLayout>
      </c:layout>
      <c:barChart>
        <c:barDir val="col"/>
        <c:grouping val="clustered"/>
        <c:varyColors val="0"/>
        <c:ser>
          <c:idx val="0"/>
          <c:order val="0"/>
          <c:tx>
            <c:strRef>
              <c:f>'INFOGRAFIA.GENERO.V1'!$W$41</c:f>
              <c:strCache>
                <c:ptCount val="1"/>
                <c:pt idx="0">
                  <c:v>Masculino</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Bahnschrift SemiLight SemiCondeo)" panose="020B0502040204020203"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'INFOGRAFIA.GENERO.V1'!$X$40:$Y$40</c:f>
              <c:strCache>
                <c:ptCount val="2"/>
                <c:pt idx="0">
                  <c:v> Titulares RC</c:v>
                </c:pt>
                <c:pt idx="1">
                  <c:v>Dependientes   </c:v>
                </c:pt>
              </c:strCache>
            </c:strRef>
          </c:cat>
          <c:val>
            <c:numRef>
              <c:f>'INFOGRAFIA.GENERO.V1'!$X$41:$Y$41</c:f>
              <c:numCache>
                <c:formatCode>#,##0</c:formatCode>
                <c:ptCount val="2"/>
                <c:pt idx="0">
                  <c:v>2393492</c:v>
                </c:pt>
                <c:pt idx="1">
                  <c:v>476417</c:v>
                </c:pt>
              </c:numCache>
            </c:numRef>
          </c:val>
          <c:extLst>
            <c:ext xmlns:c16="http://schemas.microsoft.com/office/drawing/2014/chart" uri="{C3380CC4-5D6E-409C-BE32-E72D297353CC}">
              <c16:uniqueId val="{00000000-03CB-447E-A16C-B1838C0776D6}"/>
            </c:ext>
          </c:extLst>
        </c:ser>
        <c:ser>
          <c:idx val="1"/>
          <c:order val="1"/>
          <c:tx>
            <c:strRef>
              <c:f>'INFOGRAFIA.GENERO.V1'!$W$42</c:f>
              <c:strCache>
                <c:ptCount val="1"/>
                <c:pt idx="0">
                  <c:v>Femenino</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Bahnschrift SemiLight SemiCondeo)" panose="020B0502040204020203"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'INFOGRAFIA.GENERO.V1'!$X$40:$Y$40</c:f>
              <c:strCache>
                <c:ptCount val="2"/>
                <c:pt idx="0">
                  <c:v> Titulares RC</c:v>
                </c:pt>
                <c:pt idx="1">
                  <c:v>Dependientes   </c:v>
                </c:pt>
              </c:strCache>
            </c:strRef>
          </c:cat>
          <c:val>
            <c:numRef>
              <c:f>'INFOGRAFIA.GENERO.V1'!$X$42:$Y$42</c:f>
              <c:numCache>
                <c:formatCode>#,##0</c:formatCode>
                <c:ptCount val="2"/>
                <c:pt idx="0">
                  <c:v>2469974</c:v>
                </c:pt>
                <c:pt idx="1">
                  <c:v>433219</c:v>
                </c:pt>
              </c:numCache>
            </c:numRef>
          </c:val>
          <c:extLst>
            <c:ext xmlns:c16="http://schemas.microsoft.com/office/drawing/2014/chart" uri="{C3380CC4-5D6E-409C-BE32-E72D297353CC}">
              <c16:uniqueId val="{00000001-03CB-447E-A16C-B1838C0776D6}"/>
            </c:ext>
          </c:extLst>
        </c:ser>
        <c:dLbls>
          <c:showLegendKey val="0"/>
          <c:showVal val="0"/>
          <c:showCatName val="0"/>
          <c:showSerName val="0"/>
          <c:showPercent val="0"/>
          <c:showBubbleSize val="0"/>
        </c:dLbls>
        <c:gapWidth val="170"/>
        <c:overlap val="-15"/>
        <c:axId val="2019699087"/>
        <c:axId val="2019702831"/>
      </c:barChart>
      <c:catAx>
        <c:axId val="2019699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Bahnschrift SemiLight SemiCondeo)" panose="020B0502040204020203" pitchFamily="34" charset="0"/>
                <a:ea typeface="+mn-ea"/>
                <a:cs typeface="+mn-cs"/>
              </a:defRPr>
            </a:pPr>
            <a:endParaRPr lang="es-DO"/>
          </a:p>
        </c:txPr>
        <c:crossAx val="2019702831"/>
        <c:crosses val="autoZero"/>
        <c:auto val="1"/>
        <c:lblAlgn val="ctr"/>
        <c:lblOffset val="100"/>
        <c:noMultiLvlLbl val="0"/>
      </c:catAx>
      <c:valAx>
        <c:axId val="2019702831"/>
        <c:scaling>
          <c:orientation val="minMax"/>
        </c:scaling>
        <c:delete val="1"/>
        <c:axPos val="l"/>
        <c:numFmt formatCode="#,##0" sourceLinked="1"/>
        <c:majorTickMark val="none"/>
        <c:minorTickMark val="none"/>
        <c:tickLblPos val="nextTo"/>
        <c:crossAx val="2019699087"/>
        <c:crosses val="autoZero"/>
        <c:crossBetween val="between"/>
      </c:valAx>
      <c:spPr>
        <a:noFill/>
        <a:ln>
          <a:noFill/>
        </a:ln>
        <a:effectLst/>
      </c:spPr>
    </c:plotArea>
    <c:legend>
      <c:legendPos val="b"/>
      <c:layout>
        <c:manualLayout>
          <c:xMode val="edge"/>
          <c:yMode val="edge"/>
          <c:x val="0.20941409458497415"/>
          <c:y val="0.22717465186071709"/>
          <c:w val="0.54188391100058364"/>
          <c:h val="4.495276807846692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Bahnschrift SemiLight SemiCondeo)" panose="020B0502040204020203"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Bahnschrift SemiLight SemiCondeo)" panose="020B0502040204020203" pitchFamily="34" charset="0"/>
        </a:defRPr>
      </a:pPr>
      <a:endParaRPr lang="es-DO"/>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3884136984770687E-3"/>
          <c:y val="0.2492674270213541"/>
          <c:w val="0.88806721678384215"/>
          <c:h val="0.44170913239664517"/>
        </c:manualLayout>
      </c:layout>
      <c:barChart>
        <c:barDir val="col"/>
        <c:grouping val="clustered"/>
        <c:varyColors val="0"/>
        <c:ser>
          <c:idx val="0"/>
          <c:order val="1"/>
          <c:spPr>
            <a:solidFill>
              <a:schemeClr val="tx2">
                <a:lumMod val="60000"/>
                <a:lumOff val="40000"/>
              </a:schemeClr>
            </a:solidFill>
            <a:ln w="28575" cap="rnd">
              <a:solidFill>
                <a:schemeClr val="accent5"/>
              </a:solidFill>
              <a:round/>
            </a:ln>
            <a:effectLst/>
          </c:spPr>
          <c:invertIfNegative val="0"/>
          <c:dLbls>
            <c:spPr>
              <a:noFill/>
              <a:ln>
                <a:noFill/>
              </a:ln>
              <a:effectLst/>
            </c:spPr>
            <c:txPr>
              <a:bodyPr rot="-5400000"/>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Evolucion_Capita!$E$7:$E$20</c:f>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f>Evolucion_Capita!$F$7:$F$20</c:f>
              <c:numCache>
                <c:formatCode>#,##0.00</c:formatCode>
                <c:ptCount val="14"/>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pt idx="13">
                  <c:v>1683.22</c:v>
                </c:pt>
              </c:numCache>
            </c:numRef>
          </c:val>
          <c:extLst>
            <c:ext xmlns:c16="http://schemas.microsoft.com/office/drawing/2014/chart" uri="{C3380CC4-5D6E-409C-BE32-E72D297353CC}">
              <c16:uniqueId val="{00000000-94DE-48D3-A5B5-73BD0050A1FD}"/>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invertIfNegative val="0"/>
                <c:cat>
                  <c:strRef>
                    <c:extLst>
                      <c:ext uri="{02D57815-91ED-43cb-92C2-25804820EDAC}">
                        <c15:formulaRef>
                          <c15:sqref>Evolucion_Capita!$E$7:$E$20</c15:sqref>
                        </c15:formulaRef>
                      </c:ext>
                    </c:extLst>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4DE-48D3-A5B5-73BD0050A1FD}"/>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050"/>
            </a:pPr>
            <a:endParaRPr lang="es-DO"/>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DO" b="1"/>
              <a:t>Evolución de Cobertura de Medicamentos Régimen Contributivo</a:t>
            </a:r>
          </a:p>
        </c:rich>
      </c:tx>
      <c:layout>
        <c:manualLayout>
          <c:xMode val="edge"/>
          <c:yMode val="edge"/>
          <c:x val="0.17766873255564791"/>
          <c:y val="5.656664515847420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6.2151600452651161E-2"/>
          <c:y val="0.17591042490290279"/>
          <c:w val="0.87795115680426605"/>
          <c:h val="0.59111379277699827"/>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Evolucion_Capita!$N$4:$N$7</c:f>
              <c:strCache>
                <c:ptCount val="4"/>
                <c:pt idx="0">
                  <c:v>Resolución No. 81-02 (2004)</c:v>
                </c:pt>
                <c:pt idx="1">
                  <c:v>Resolución No. 156-05 (2007)</c:v>
                </c:pt>
                <c:pt idx="2">
                  <c:v>Resolución No. 2375-02 (2015)</c:v>
                </c:pt>
                <c:pt idx="3">
                  <c:v>Resolución No. 581-03 (2023)</c:v>
                </c:pt>
              </c:strCache>
            </c:strRef>
          </c:cat>
          <c:val>
            <c:numRef>
              <c:f>Evolucion_Capita!$O$4:$O$7</c:f>
              <c:numCache>
                <c:formatCode>#,##0.00</c:formatCode>
                <c:ptCount val="4"/>
                <c:pt idx="0">
                  <c:v>3000</c:v>
                </c:pt>
                <c:pt idx="1">
                  <c:v>5000</c:v>
                </c:pt>
                <c:pt idx="2">
                  <c:v>8000</c:v>
                </c:pt>
                <c:pt idx="3">
                  <c:v>12000</c:v>
                </c:pt>
              </c:numCache>
            </c:numRef>
          </c:val>
          <c:smooth val="0"/>
          <c:extLst>
            <c:ext xmlns:c16="http://schemas.microsoft.com/office/drawing/2014/chart" uri="{C3380CC4-5D6E-409C-BE32-E72D297353CC}">
              <c16:uniqueId val="{00000000-CC50-41E8-8EBC-E2F1CDF819B9}"/>
            </c:ext>
          </c:extLst>
        </c:ser>
        <c:dLbls>
          <c:showLegendKey val="0"/>
          <c:showVal val="0"/>
          <c:showCatName val="0"/>
          <c:showSerName val="0"/>
          <c:showPercent val="0"/>
          <c:showBubbleSize val="0"/>
        </c:dLbls>
        <c:marker val="1"/>
        <c:smooth val="0"/>
        <c:axId val="643353280"/>
        <c:axId val="643364512"/>
      </c:lineChart>
      <c:catAx>
        <c:axId val="64335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643364512"/>
        <c:crosses val="autoZero"/>
        <c:auto val="1"/>
        <c:lblAlgn val="ctr"/>
        <c:lblOffset val="100"/>
        <c:noMultiLvlLbl val="0"/>
      </c:catAx>
      <c:valAx>
        <c:axId val="643364512"/>
        <c:scaling>
          <c:orientation val="minMax"/>
        </c:scaling>
        <c:delete val="1"/>
        <c:axPos val="l"/>
        <c:numFmt formatCode="#,##0.00" sourceLinked="1"/>
        <c:majorTickMark val="none"/>
        <c:minorTickMark val="none"/>
        <c:tickLblPos val="nextTo"/>
        <c:crossAx val="64335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DO" b="1"/>
              <a:t>Evolución de Cobertura de Medicamentos Régimen Subsidiado</a:t>
            </a:r>
          </a:p>
        </c:rich>
      </c:tx>
      <c:layout>
        <c:manualLayout>
          <c:xMode val="edge"/>
          <c:yMode val="edge"/>
          <c:x val="0.16672113205618927"/>
          <c:y val="2.007050721931564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4.840327085506612E-2"/>
          <c:y val="0.16774419291861867"/>
          <c:w val="0.9113281755876903"/>
          <c:h val="0.58149652751262204"/>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Evolucion_Capita!$N$12:$N$14</c:f>
              <c:strCache>
                <c:ptCount val="3"/>
                <c:pt idx="0">
                  <c:v>Resolución No. 69-01 (2003)</c:v>
                </c:pt>
                <c:pt idx="1">
                  <c:v>Resolución No. 128-04 (2006)</c:v>
                </c:pt>
                <c:pt idx="2">
                  <c:v>Resolución No. 551-02 (2022)</c:v>
                </c:pt>
              </c:strCache>
            </c:strRef>
          </c:cat>
          <c:val>
            <c:numRef>
              <c:f>Evolucion_Capita!$O$12:$O$14</c:f>
              <c:numCache>
                <c:formatCode>#,##0.00</c:formatCode>
                <c:ptCount val="3"/>
                <c:pt idx="0">
                  <c:v>1000</c:v>
                </c:pt>
                <c:pt idx="1">
                  <c:v>3000</c:v>
                </c:pt>
                <c:pt idx="2">
                  <c:v>5000</c:v>
                </c:pt>
              </c:numCache>
            </c:numRef>
          </c:val>
          <c:smooth val="0"/>
          <c:extLst>
            <c:ext xmlns:c16="http://schemas.microsoft.com/office/drawing/2014/chart" uri="{C3380CC4-5D6E-409C-BE32-E72D297353CC}">
              <c16:uniqueId val="{00000000-9AC7-40B8-91E5-C3A2806AADCE}"/>
            </c:ext>
          </c:extLst>
        </c:ser>
        <c:dLbls>
          <c:showLegendKey val="0"/>
          <c:showVal val="0"/>
          <c:showCatName val="0"/>
          <c:showSerName val="0"/>
          <c:showPercent val="0"/>
          <c:showBubbleSize val="0"/>
        </c:dLbls>
        <c:marker val="1"/>
        <c:smooth val="0"/>
        <c:axId val="643359520"/>
        <c:axId val="643345792"/>
      </c:lineChart>
      <c:catAx>
        <c:axId val="64335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crossAx val="643345792"/>
        <c:crosses val="autoZero"/>
        <c:auto val="1"/>
        <c:lblAlgn val="ctr"/>
        <c:lblOffset val="100"/>
        <c:noMultiLvlLbl val="0"/>
      </c:catAx>
      <c:valAx>
        <c:axId val="643345792"/>
        <c:scaling>
          <c:orientation val="minMax"/>
        </c:scaling>
        <c:delete val="1"/>
        <c:axPos val="l"/>
        <c:numFmt formatCode="#,##0.00" sourceLinked="1"/>
        <c:majorTickMark val="none"/>
        <c:minorTickMark val="none"/>
        <c:tickLblPos val="nextTo"/>
        <c:crossAx val="64335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23432470941132358"/>
          <c:w val="0.95763429571303582"/>
          <c:h val="0.58473405110075527"/>
        </c:manualLayout>
      </c:layout>
      <c:barChart>
        <c:barDir val="col"/>
        <c:grouping val="clustered"/>
        <c:varyColors val="0"/>
        <c:ser>
          <c:idx val="1"/>
          <c:order val="0"/>
          <c:tx>
            <c:strRef>
              <c:f>'II.3. Empl x sector '!$J$4</c:f>
              <c:strCache>
                <c:ptCount val="1"/>
                <c:pt idx="0">
                  <c:v> Total  Empleados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'!$A$5:$A$22</c15:sqref>
                  </c15:fullRef>
                </c:ext>
              </c:extLst>
              <c:f>'II.3. Empl x sector '!$A$9:$A$22</c:f>
              <c:strCache>
                <c:ptCount val="14"/>
                <c:pt idx="0">
                  <c:v> Dic.12 </c:v>
                </c:pt>
                <c:pt idx="1">
                  <c:v> Dic.13 </c:v>
                </c:pt>
                <c:pt idx="2">
                  <c:v> Dic.14 </c:v>
                </c:pt>
                <c:pt idx="3">
                  <c:v> Dic.15 </c:v>
                </c:pt>
                <c:pt idx="4">
                  <c:v> Dic.16 </c:v>
                </c:pt>
                <c:pt idx="5">
                  <c:v> Dic.17 </c:v>
                </c:pt>
                <c:pt idx="6">
                  <c:v> Dic.18 </c:v>
                </c:pt>
                <c:pt idx="7">
                  <c:v> Dic.19 </c:v>
                </c:pt>
                <c:pt idx="8">
                  <c:v> Dic.20 </c:v>
                </c:pt>
                <c:pt idx="9">
                  <c:v> Dic.21 </c:v>
                </c:pt>
                <c:pt idx="10">
                  <c:v> Dic.22 </c:v>
                </c:pt>
                <c:pt idx="11">
                  <c:v> Dic.23 </c:v>
                </c:pt>
                <c:pt idx="12">
                  <c:v> Dic.24 </c:v>
                </c:pt>
                <c:pt idx="13">
                  <c:v> Abr.25 </c:v>
                </c:pt>
              </c:strCache>
            </c:strRef>
          </c:cat>
          <c:val>
            <c:numRef>
              <c:extLst>
                <c:ext xmlns:c15="http://schemas.microsoft.com/office/drawing/2012/chart" uri="{02D57815-91ED-43cb-92C2-25804820EDAC}">
                  <c15:fullRef>
                    <c15:sqref>'II.3. Empl x sector '!$J$5:$J$22</c15:sqref>
                  </c15:fullRef>
                </c:ext>
              </c:extLst>
              <c:f>'II.3. Empl x sector '!$J$9:$J$22</c:f>
              <c:numCache>
                <c:formatCode>_(* #,##0_);_(* \(#,##0\);_(* "-"??_);_(@_)</c:formatCode>
                <c:ptCount val="14"/>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2445968</c:v>
                </c:pt>
                <c:pt idx="12">
                  <c:v>2515541</c:v>
                </c:pt>
                <c:pt idx="13">
                  <c:v>2554953</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 Total Empresas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'!$A$5:$A$22</c15:sqref>
                  </c15:fullRef>
                </c:ext>
              </c:extLst>
              <c:f>'II.3. Empl x sector '!$A$9:$A$22</c:f>
              <c:strCache>
                <c:ptCount val="14"/>
                <c:pt idx="0">
                  <c:v> Dic.12 </c:v>
                </c:pt>
                <c:pt idx="1">
                  <c:v> Dic.13 </c:v>
                </c:pt>
                <c:pt idx="2">
                  <c:v> Dic.14 </c:v>
                </c:pt>
                <c:pt idx="3">
                  <c:v> Dic.15 </c:v>
                </c:pt>
                <c:pt idx="4">
                  <c:v> Dic.16 </c:v>
                </c:pt>
                <c:pt idx="5">
                  <c:v> Dic.17 </c:v>
                </c:pt>
                <c:pt idx="6">
                  <c:v> Dic.18 </c:v>
                </c:pt>
                <c:pt idx="7">
                  <c:v> Dic.19 </c:v>
                </c:pt>
                <c:pt idx="8">
                  <c:v> Dic.20 </c:v>
                </c:pt>
                <c:pt idx="9">
                  <c:v> Dic.21 </c:v>
                </c:pt>
                <c:pt idx="10">
                  <c:v> Dic.22 </c:v>
                </c:pt>
                <c:pt idx="11">
                  <c:v> Dic.23 </c:v>
                </c:pt>
                <c:pt idx="12">
                  <c:v> Dic.24 </c:v>
                </c:pt>
                <c:pt idx="13">
                  <c:v> Abr.25 </c:v>
                </c:pt>
              </c:strCache>
            </c:strRef>
          </c:cat>
          <c:val>
            <c:numRef>
              <c:extLst>
                <c:ext xmlns:c15="http://schemas.microsoft.com/office/drawing/2012/chart" uri="{02D57815-91ED-43cb-92C2-25804820EDAC}">
                  <c15:fullRef>
                    <c15:sqref>'II.3. Empl x sector '!$F$5:$F$22</c15:sqref>
                  </c15:fullRef>
                </c:ext>
              </c:extLst>
              <c:f>'II.3. Empl x sector '!$F$9:$F$22</c:f>
              <c:numCache>
                <c:formatCode>_(* #,##0_);_(* \(#,##0\);_(* "-"??_);_(@_)</c:formatCode>
                <c:ptCount val="14"/>
                <c:pt idx="0">
                  <c:v>51351</c:v>
                </c:pt>
                <c:pt idx="1">
                  <c:v>59335</c:v>
                </c:pt>
                <c:pt idx="2">
                  <c:v>65666</c:v>
                </c:pt>
                <c:pt idx="3">
                  <c:v>70019</c:v>
                </c:pt>
                <c:pt idx="4">
                  <c:v>74822</c:v>
                </c:pt>
                <c:pt idx="5">
                  <c:v>79602</c:v>
                </c:pt>
                <c:pt idx="6">
                  <c:v>85513</c:v>
                </c:pt>
                <c:pt idx="7">
                  <c:v>91463</c:v>
                </c:pt>
                <c:pt idx="8">
                  <c:v>92323</c:v>
                </c:pt>
                <c:pt idx="9">
                  <c:v>104145</c:v>
                </c:pt>
                <c:pt idx="10">
                  <c:v>99457</c:v>
                </c:pt>
                <c:pt idx="11">
                  <c:v>105176</c:v>
                </c:pt>
                <c:pt idx="12">
                  <c:v>110808</c:v>
                </c:pt>
                <c:pt idx="13">
                  <c:v>112284</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193-4457-BFE4-F7171924B33D}"/>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193-4457-BFE4-F7171924B33D}"/>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193-4457-BFE4-F7171924B33D}"/>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193-4457-BFE4-F7171924B33D}"/>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 Relación Promedio Empleados / Empresas </c:v>
                </c:pt>
              </c:strCache>
            </c:strRef>
          </c:tx>
          <c:spPr>
            <a:ln w="66675" cap="rnd" cmpd="sng" algn="ctr">
              <a:noFill/>
              <a:prstDash val="solid"/>
              <a:round/>
            </a:ln>
            <a:effectLst/>
          </c:spPr>
          <c:marker>
            <c:symbol val="circle"/>
            <c:size val="13"/>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'!$A$5:$A$22</c15:sqref>
                  </c15:fullRef>
                </c:ext>
              </c:extLst>
              <c:f>'II.3. Empl x sector '!$A$9:$A$22</c:f>
              <c:strCache>
                <c:ptCount val="14"/>
                <c:pt idx="0">
                  <c:v> Dic.12 </c:v>
                </c:pt>
                <c:pt idx="1">
                  <c:v> Dic.13 </c:v>
                </c:pt>
                <c:pt idx="2">
                  <c:v> Dic.14 </c:v>
                </c:pt>
                <c:pt idx="3">
                  <c:v> Dic.15 </c:v>
                </c:pt>
                <c:pt idx="4">
                  <c:v> Dic.16 </c:v>
                </c:pt>
                <c:pt idx="5">
                  <c:v> Dic.17 </c:v>
                </c:pt>
                <c:pt idx="6">
                  <c:v> Dic.18 </c:v>
                </c:pt>
                <c:pt idx="7">
                  <c:v> Dic.19 </c:v>
                </c:pt>
                <c:pt idx="8">
                  <c:v> Dic.20 </c:v>
                </c:pt>
                <c:pt idx="9">
                  <c:v> Dic.21 </c:v>
                </c:pt>
                <c:pt idx="10">
                  <c:v> Dic.22 </c:v>
                </c:pt>
                <c:pt idx="11">
                  <c:v> Dic.23 </c:v>
                </c:pt>
                <c:pt idx="12">
                  <c:v> Dic.24 </c:v>
                </c:pt>
                <c:pt idx="13">
                  <c:v> Abr.25 </c:v>
                </c:pt>
              </c:strCache>
            </c:strRef>
          </c:cat>
          <c:val>
            <c:numRef>
              <c:extLst>
                <c:ext xmlns:c15="http://schemas.microsoft.com/office/drawing/2012/chart" uri="{02D57815-91ED-43cb-92C2-25804820EDAC}">
                  <c15:fullRef>
                    <c15:sqref>'II.3. Empl x sector '!$L$5:$L$22</c15:sqref>
                  </c15:fullRef>
                </c:ext>
              </c:extLst>
              <c:f>'II.3. Empl x sector '!$L$9:$L$22</c:f>
              <c:numCache>
                <c:formatCode>_(* #,##0.00_);_(* \(#,##0.00\);_(* "-"??_);_(@_)</c:formatCode>
                <c:ptCount val="14"/>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24.181696612606451</c:v>
                </c:pt>
                <c:pt idx="11">
                  <c:v>23.255951928196545</c:v>
                </c:pt>
                <c:pt idx="12">
                  <c:v>22.701799509060717</c:v>
                </c:pt>
                <c:pt idx="13">
                  <c:v>22.754381746286203</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0.1844293387377211"/>
          <c:y val="4.4766618458406987E-2"/>
          <c:w val="0.59736637983543195"/>
          <c:h val="4.598194261517274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Abr.25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112284</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7"/>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Abr.25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2554953</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Abr.25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22.754381746286203</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58547093489912938"/>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173198</c:v>
                </c:pt>
                <c:pt idx="1">
                  <c:v>148498</c:v>
                </c:pt>
                <c:pt idx="2">
                  <c:v>161664</c:v>
                </c:pt>
                <c:pt idx="3">
                  <c:v>240296</c:v>
                </c:pt>
                <c:pt idx="4">
                  <c:v>146064</c:v>
                </c:pt>
                <c:pt idx="5">
                  <c:v>383328</c:v>
                </c:pt>
                <c:pt idx="6">
                  <c:v>199866</c:v>
                </c:pt>
                <c:pt idx="7">
                  <c:v>622771</c:v>
                </c:pt>
                <c:pt idx="8">
                  <c:v>479268</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69424</c:v>
                </c:pt>
                <c:pt idx="1">
                  <c:v>19580</c:v>
                </c:pt>
                <c:pt idx="2">
                  <c:v>11217</c:v>
                </c:pt>
                <c:pt idx="3">
                  <c:v>7596</c:v>
                </c:pt>
                <c:pt idx="4">
                  <c:v>2083</c:v>
                </c:pt>
                <c:pt idx="5">
                  <c:v>1827</c:v>
                </c:pt>
                <c:pt idx="6">
                  <c:v>278</c:v>
                </c:pt>
                <c:pt idx="7">
                  <c:v>269</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0.6182893377507036</c:v>
                </c:pt>
                <c:pt idx="1">
                  <c:v>0.17437925260945461</c:v>
                </c:pt>
                <c:pt idx="2">
                  <c:v>9.9898471732392857E-2</c:v>
                </c:pt>
                <c:pt idx="3">
                  <c:v>6.7649887784546323E-2</c:v>
                </c:pt>
                <c:pt idx="4">
                  <c:v>1.8551173809269354E-2</c:v>
                </c:pt>
                <c:pt idx="5">
                  <c:v>1.6271240782302021E-2</c:v>
                </c:pt>
                <c:pt idx="6">
                  <c:v>2.4758647714723382E-3</c:v>
                </c:pt>
                <c:pt idx="7">
                  <c:v>2.3957108759930178E-3</c:v>
                </c:pt>
                <c:pt idx="8">
                  <c:v>8.9059883865911439E-5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6.7789113928905936E-2</c:v>
                </c:pt>
                <c:pt idx="1">
                  <c:v>5.8121617109982066E-2</c:v>
                </c:pt>
                <c:pt idx="2">
                  <c:v>6.3274745171437594E-2</c:v>
                </c:pt>
                <c:pt idx="3">
                  <c:v>9.4051045165997188E-2</c:v>
                </c:pt>
                <c:pt idx="4">
                  <c:v>5.7168957706854096E-2</c:v>
                </c:pt>
                <c:pt idx="5">
                  <c:v>0.15003328828358095</c:v>
                </c:pt>
                <c:pt idx="6">
                  <c:v>7.8226879320284951E-2</c:v>
                </c:pt>
                <c:pt idx="7">
                  <c:v>0.24375047212218776</c:v>
                </c:pt>
                <c:pt idx="8">
                  <c:v>0.18758388119076946</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159376350515048"/>
          <c:h val="0.66541204435893608"/>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Abr.25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10864502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Abr.25</c:v>
                </c:pt>
              </c:strCache>
            </c:strRef>
          </c:cat>
          <c:val>
            <c:numRef>
              <c:extLst>
                <c:ext xmlns:c15="http://schemas.microsoft.com/office/drawing/2012/chart" uri="{02D57815-91ED-43cb-92C2-25804820EDAC}">
                  <c15:fullRef>
                    <c15:sqref>'III.1.3.Afil.SFSPob.Nac.'!$D$5:$D$22</c15:sqref>
                  </c15:fullRef>
                </c:ext>
              </c:extLst>
              <c:f>'III.1.3.Afil.SFSPob.Nac.'!$D$9:$D$22</c:f>
              <c:numCache>
                <c:formatCode>0.0%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0.97238069448558251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4000" b="1"/>
              <a:t>Evolucion del Porcentaje Estimado de la Población Nacional Afiliada al SFS del SDSS</a:t>
            </a:r>
          </a:p>
        </c:rich>
      </c:tx>
      <c:layout>
        <c:manualLayout>
          <c:xMode val="edge"/>
          <c:yMode val="edge"/>
          <c:x val="0.18258095004963759"/>
          <c:y val="4.3209876543209874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332340581779611E-2"/>
          <c:y val="0.19179522698551571"/>
          <c:w val="0.95998735261719226"/>
          <c:h val="0.60788803019992876"/>
        </c:manualLayout>
      </c:layout>
      <c:lineChart>
        <c:grouping val="standard"/>
        <c:varyColors val="0"/>
        <c:ser>
          <c:idx val="0"/>
          <c:order val="0"/>
          <c:tx>
            <c:strRef>
              <c:f>'III.1.3.Afil.SFSPob.Nac.'!$D$4</c:f>
              <c:strCache>
                <c:ptCount val="1"/>
                <c:pt idx="0">
                  <c:v>% Población Total Afiliada al  SFS</c:v>
                </c:pt>
              </c:strCache>
            </c:strRef>
          </c:tx>
          <c:spPr>
            <a:ln w="104775" cap="rnd">
              <a:solidFill>
                <a:srgbClr val="00A94F"/>
              </a:solidFill>
              <a:prstDash val="solid"/>
              <a:round/>
            </a:ln>
            <a:effectLst/>
          </c:spPr>
          <c:marker>
            <c:symbol val="circle"/>
            <c:size val="37"/>
            <c:spPr>
              <a:gradFill>
                <a:gsLst>
                  <a:gs pos="0">
                    <a:schemeClr val="accent5">
                      <a:lumMod val="89000"/>
                    </a:schemeClr>
                  </a:gs>
                  <a:gs pos="23000">
                    <a:schemeClr val="accent5">
                      <a:lumMod val="89000"/>
                    </a:schemeClr>
                  </a:gs>
                  <a:gs pos="69000">
                    <a:schemeClr val="accent5">
                      <a:lumMod val="75000"/>
                    </a:schemeClr>
                  </a:gs>
                  <a:gs pos="97000">
                    <a:schemeClr val="accent5">
                      <a:lumMod val="70000"/>
                    </a:schemeClr>
                  </a:gs>
                </a:gsLst>
                <a:path path="circle">
                  <a:fillToRect l="50000" t="50000" r="50000" b="50000"/>
                </a:path>
              </a:gradFill>
              <a:ln w="44450">
                <a:solidFill>
                  <a:schemeClr val="accent5">
                    <a:lumMod val="50000"/>
                  </a:schemeClr>
                </a:solidFill>
              </a:ln>
              <a:effectLst/>
            </c:spPr>
          </c:marker>
          <c:dLbls>
            <c:dLbl>
              <c:idx val="8"/>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extLst>
                <c:ext xmlns:c16="http://schemas.microsoft.com/office/drawing/2014/chart" uri="{C3380CC4-5D6E-409C-BE32-E72D297353CC}">
                  <c16:uniqueId val="{00000000-5DEB-4626-B92F-D539F5C0574C}"/>
                </c:ext>
              </c:extLst>
            </c:dLbl>
            <c:dLbl>
              <c:idx val="9"/>
              <c:spPr>
                <a:noFill/>
                <a:ln>
                  <a:noFill/>
                </a:ln>
                <a:effectLst/>
              </c:spPr>
              <c:txPr>
                <a:bodyPr rot="-5400000" spcFirstLastPara="1" vertOverflow="ellipsis" wrap="square" anchor="ctr" anchorCtr="1"/>
                <a:lstStyle/>
                <a:p>
                  <a:pPr>
                    <a:defRPr sz="4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extLst>
                <c:ext xmlns:c16="http://schemas.microsoft.com/office/drawing/2014/chart" uri="{C3380CC4-5D6E-409C-BE32-E72D297353CC}">
                  <c16:uniqueId val="{00000000-B775-4655-A87B-5B419A040CA6}"/>
                </c:ext>
              </c:extLst>
            </c:dLbl>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'III.1.3.Afil.SFSPob.Nac.'!$A$5:$A$22</c15:sqref>
                  </c15:fullRef>
                </c:ext>
              </c:extLst>
              <c:f>'III.1.3.Afil.SFSPob.Nac.'!$A$12:$A$22</c:f>
              <c:strCache>
                <c:ptCount val="11"/>
                <c:pt idx="0">
                  <c:v>2015</c:v>
                </c:pt>
                <c:pt idx="1">
                  <c:v>2016</c:v>
                </c:pt>
                <c:pt idx="2">
                  <c:v>2017</c:v>
                </c:pt>
                <c:pt idx="3">
                  <c:v>2018</c:v>
                </c:pt>
                <c:pt idx="4">
                  <c:v>2019</c:v>
                </c:pt>
                <c:pt idx="5">
                  <c:v>2020</c:v>
                </c:pt>
                <c:pt idx="6">
                  <c:v>2021</c:v>
                </c:pt>
                <c:pt idx="7">
                  <c:v>2022</c:v>
                </c:pt>
                <c:pt idx="8">
                  <c:v>2023</c:v>
                </c:pt>
                <c:pt idx="9">
                  <c:v>2024</c:v>
                </c:pt>
                <c:pt idx="10">
                  <c:v>Abr.25</c:v>
                </c:pt>
              </c:strCache>
            </c:strRef>
          </c:cat>
          <c:val>
            <c:numRef>
              <c:extLst>
                <c:ext xmlns:c15="http://schemas.microsoft.com/office/drawing/2012/chart" uri="{02D57815-91ED-43cb-92C2-25804820EDAC}">
                  <c15:fullRef>
                    <c15:sqref>'III.1.3.Afil.SFSPob.Nac.'!$D$5:$D$22</c15:sqref>
                  </c15:fullRef>
                </c:ext>
              </c:extLst>
              <c:f>'III.1.3.Afil.SFSPob.Nac.'!$D$12:$D$22</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0.97238069448558251</c:v>
                </c:pt>
              </c:numCache>
            </c:numRef>
          </c:val>
          <c:smooth val="0"/>
          <c:extLst>
            <c:ext xmlns:c16="http://schemas.microsoft.com/office/drawing/2014/chart" uri="{C3380CC4-5D6E-409C-BE32-E72D297353CC}">
              <c16:uniqueId val="{00000000-012B-49DD-92E4-FFB14BE15839}"/>
            </c:ext>
          </c:extLst>
        </c:ser>
        <c:dLbls>
          <c:showLegendKey val="0"/>
          <c:showVal val="0"/>
          <c:showCatName val="0"/>
          <c:showSerName val="0"/>
          <c:showPercent val="0"/>
          <c:showBubbleSize val="0"/>
        </c:dLbls>
        <c:marker val="1"/>
        <c:smooth val="0"/>
        <c:axId val="2033882144"/>
        <c:axId val="2061538096"/>
      </c:lineChart>
      <c:catAx>
        <c:axId val="20338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061538096"/>
        <c:crosses val="autoZero"/>
        <c:auto val="1"/>
        <c:lblAlgn val="ctr"/>
        <c:lblOffset val="100"/>
        <c:noMultiLvlLbl val="0"/>
      </c:catAx>
      <c:valAx>
        <c:axId val="2061538096"/>
        <c:scaling>
          <c:orientation val="minMax"/>
        </c:scaling>
        <c:delete val="1"/>
        <c:axPos val="l"/>
        <c:numFmt formatCode="0.0%" sourceLinked="1"/>
        <c:majorTickMark val="none"/>
        <c:minorTickMark val="none"/>
        <c:tickLblPos val="nextTo"/>
        <c:crossAx val="2033882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6426110243751977"/>
          <c:y val="0.19769377906434521"/>
          <c:w val="0.48798264781156908"/>
          <c:h val="0.51498179563936519"/>
        </c:manualLayout>
      </c:layout>
      <c:doughnutChart>
        <c:varyColors val="1"/>
        <c:ser>
          <c:idx val="0"/>
          <c:order val="0"/>
          <c:dPt>
            <c:idx val="0"/>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3-E16E-4778-9B2B-4B1604DBF4AB}"/>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5-E16E-4778-9B2B-4B1604DBF4AB}"/>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4-E16E-4778-9B2B-4B1604DBF4AB}"/>
              </c:ext>
            </c:extLst>
          </c:dPt>
          <c:dLbls>
            <c:dLbl>
              <c:idx val="0"/>
              <c:layout>
                <c:manualLayout>
                  <c:x val="0.15129448296058071"/>
                  <c:y val="-5.3221157758447436E-17"/>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16E-4778-9B2B-4B1604DBF4AB}"/>
                </c:ext>
              </c:extLst>
            </c:dLbl>
            <c:dLbl>
              <c:idx val="1"/>
              <c:layout>
                <c:manualLayout>
                  <c:x val="-0.21181227614481296"/>
                  <c:y val="7.838115597232853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16E-4778-9B2B-4B1604DBF4AB}"/>
                </c:ext>
              </c:extLst>
            </c:dLbl>
            <c:dLbl>
              <c:idx val="2"/>
              <c:layout>
                <c:manualLayout>
                  <c:x val="-5.501617562202985E-3"/>
                  <c:y val="-0.130635259953881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16E-4778-9B2B-4B1604DBF4A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'III.1.4.Afil. SFS'!$B$4:$D$4</c:f>
              <c:strCache>
                <c:ptCount val="3"/>
                <c:pt idx="0">
                  <c:v> Afiliación  RC </c:v>
                </c:pt>
                <c:pt idx="1">
                  <c:v> Afiliación RS </c:v>
                </c:pt>
                <c:pt idx="2">
                  <c:v> Pensionados </c:v>
                </c:pt>
              </c:strCache>
            </c:strRef>
          </c:cat>
          <c:val>
            <c:numRef>
              <c:f>'III.1.4.Afil. SFS'!$B$22:$D$22</c:f>
              <c:numCache>
                <c:formatCode>_(* #,##0_);_(* \(#,##0\);_(* "-"??_);_(@_)</c:formatCode>
                <c:ptCount val="3"/>
                <c:pt idx="0">
                  <c:v>4750230</c:v>
                </c:pt>
                <c:pt idx="1">
                  <c:v>5697226</c:v>
                </c:pt>
                <c:pt idx="2">
                  <c:v>116976</c:v>
                </c:pt>
              </c:numCache>
            </c:numRef>
          </c:val>
          <c:extLst>
            <c:ext xmlns:c16="http://schemas.microsoft.com/office/drawing/2014/chart" uri="{C3380CC4-5D6E-409C-BE32-E72D297353CC}">
              <c16:uniqueId val="{00000000-E16E-4778-9B2B-4B1604DBF4AB}"/>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Abr.2025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4750230</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Abr.2025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5697226</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Abr.2025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116976</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131844213072519"/>
          <c:w val="0.9641427237021023"/>
          <c:h val="0.60068090031983912"/>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Abr.2025 </c:v>
                </c:pt>
              </c:strCache>
            </c:strRef>
          </c:cat>
          <c:val>
            <c:numRef>
              <c:f>'III.1.5.Afil. SFS x sexo'!$J$8:$J$23</c:f>
              <c:numCache>
                <c:formatCode>#,##0</c:formatCode>
                <c:ptCount val="16"/>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5192704</c:v>
                </c:pt>
                <c:pt idx="15">
                  <c:v>5195532</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Abr.2025 </c:v>
                </c:pt>
              </c:strCache>
            </c:strRef>
          </c:cat>
          <c:val>
            <c:numRef>
              <c:f>'III.1.5.Afil. SFS x sexo'!$L$8:$L$23</c:f>
              <c:numCache>
                <c:formatCode>#,##0</c:formatCode>
                <c:ptCount val="16"/>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5245054</c:v>
                </c:pt>
                <c:pt idx="15">
                  <c:v>5251924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821073384802506E-2"/>
          <c:y val="0.1976741236370988"/>
          <c:w val="0.95508843039439795"/>
          <c:h val="0.57756187038466356"/>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Abr.2025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2558288</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Abr.2025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2191942</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6779405322389787"/>
          <c:w val="0.94617841200828601"/>
          <c:h val="0.5842364611395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Abr.2025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1231096</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Abr.2025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1130904</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Abr.2025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960846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Abr.2025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1427384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Abr.2025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4822818</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Abr.2025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874408</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Abr.2025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0.18130644780707048</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Abr.2025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2375063</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Abr.2025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458469</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Abr.2025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2447755</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Abr.2025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415939</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16243</c:v>
                </c:pt>
                <c:pt idx="1">
                  <c:v>31009</c:v>
                </c:pt>
                <c:pt idx="2">
                  <c:v>5751</c:v>
                </c:pt>
                <c:pt idx="3">
                  <c:v>31175</c:v>
                </c:pt>
                <c:pt idx="4">
                  <c:v>32798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8609209210030015E-2"/>
          <c:y val="2.6783926275028729E-2"/>
          <c:w val="0.878113981501221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Abr.2025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2226931</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D38B-4564-BF74-8A5D55294AA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D38B-4564-BF74-8A5D55294AA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Abr.2025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5392563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Abr.2025</c:v>
                </c:pt>
              </c:strCache>
            </c:strRef>
          </c:cat>
          <c:val>
            <c:numRef>
              <c:extLst>
                <c:ext xmlns:c15="http://schemas.microsoft.com/office/drawing/2012/chart" uri="{02D57815-91ED-43cb-92C2-25804820EDAC}">
                  <c15:fullRef>
                    <c15:sqref>'III.5.3.Afil. SVDS'!$D$5:$D$22</c15:sqref>
                  </c15:fullRef>
                </c:ext>
              </c:extLst>
              <c:f>'III.5.3.Afil. SVDS'!$D$7:$D$22</c:f>
              <c:numCache>
                <c:formatCode>0.00%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0.41296337196246014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Abr.2025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2445484</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Abr.2025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2226931</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Abr.2025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0.91062996118559758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20584123220236539"/>
          <c:h val="8.151159209307225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00.xml><?xml version="1.0" encoding="utf-8"?>
<cs:colorStyle xmlns:cs="http://schemas.microsoft.com/office/drawing/2012/chartStyle" xmlns:a="http://schemas.openxmlformats.org/drawingml/2006/main" meth="withinLinearReversed" id="21">
  <a:schemeClr val="accent1"/>
</cs:colorStyle>
</file>

<file path=xl/charts/colors10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withinLinearReversed" id="21">
  <a:schemeClr val="accent1"/>
</cs:colorStyle>
</file>

<file path=xl/charts/colors104.xml><?xml version="1.0" encoding="utf-8"?>
<cs:colorStyle xmlns:cs="http://schemas.microsoft.com/office/drawing/2012/chartStyle" xmlns:a="http://schemas.openxmlformats.org/drawingml/2006/main" meth="withinLinear" id="18">
  <a:schemeClr val="accent5"/>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withinLinear" id="14">
  <a:schemeClr val="accent1"/>
</cs:colorStyle>
</file>

<file path=xl/charts/colors111.xml><?xml version="1.0" encoding="utf-8"?>
<cs:colorStyle xmlns:cs="http://schemas.microsoft.com/office/drawing/2012/chartStyle" xmlns:a="http://schemas.openxmlformats.org/drawingml/2006/main" meth="withinLinear" id="14">
  <a:schemeClr val="accent1"/>
</cs:colorStyle>
</file>

<file path=xl/charts/colors1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withinLinear" id="14">
  <a:schemeClr val="accent1"/>
</cs:colorStyle>
</file>

<file path=xl/charts/colors114.xml><?xml version="1.0" encoding="utf-8"?>
<cs:colorStyle xmlns:cs="http://schemas.microsoft.com/office/drawing/2012/chartStyle" xmlns:a="http://schemas.openxmlformats.org/drawingml/2006/main" meth="withinLinear" id="14">
  <a:schemeClr val="accent1"/>
</cs:colorStyle>
</file>

<file path=xl/charts/colors1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withinLinear" id="14">
  <a:schemeClr val="accent1"/>
</cs:colorStyle>
</file>

<file path=xl/charts/colors119.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withinLinear" id="18">
  <a:schemeClr val="accent5"/>
</cs:colorStyle>
</file>

<file path=xl/charts/colors123.xml><?xml version="1.0" encoding="utf-8"?>
<cs:colorStyle xmlns:cs="http://schemas.microsoft.com/office/drawing/2012/chartStyle" xmlns:a="http://schemas.openxmlformats.org/drawingml/2006/main" meth="withinLinear" id="14">
  <a:schemeClr val="accent1"/>
</cs:colorStyle>
</file>

<file path=xl/charts/colors124.xml><?xml version="1.0" encoding="utf-8"?>
<cs:colorStyle xmlns:cs="http://schemas.microsoft.com/office/drawing/2012/chartStyle" xmlns:a="http://schemas.openxmlformats.org/drawingml/2006/main" meth="withinLinear" id="18">
  <a:schemeClr val="accent5"/>
</cs:colorStyle>
</file>

<file path=xl/charts/colors125.xml><?xml version="1.0" encoding="utf-8"?>
<cs:colorStyle xmlns:cs="http://schemas.microsoft.com/office/drawing/2012/chartStyle" xmlns:a="http://schemas.openxmlformats.org/drawingml/2006/main" meth="withinLinear" id="14">
  <a:schemeClr val="accent1"/>
</cs:colorStyle>
</file>

<file path=xl/charts/colors126.xml><?xml version="1.0" encoding="utf-8"?>
<cs:colorStyle xmlns:cs="http://schemas.microsoft.com/office/drawing/2012/chartStyle" xmlns:a="http://schemas.openxmlformats.org/drawingml/2006/main" meth="withinLinear" id="14">
  <a:schemeClr val="accent1"/>
</cs:colorStyle>
</file>

<file path=xl/charts/colors1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withinLinearReversed" id="21">
  <a:schemeClr val="accent1"/>
</cs:colorStyle>
</file>

<file path=xl/charts/colors129.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30.xml><?xml version="1.0" encoding="utf-8"?>
<cs:colorStyle xmlns:cs="http://schemas.microsoft.com/office/drawing/2012/chartStyle" xmlns:a="http://schemas.openxmlformats.org/drawingml/2006/main" meth="withinLinear" id="14">
  <a:schemeClr val="accent1"/>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withinLinear" id="16">
  <a:schemeClr val="accent3"/>
</cs:colorStyle>
</file>

<file path=xl/charts/colors1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8">
  <a:schemeClr val="accent5"/>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withinLinear" id="18">
  <a:schemeClr val="accent5"/>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Reversed" id="21">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Reversed" id="25">
  <a:schemeClr val="accent5"/>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 id="18">
  <a:schemeClr val="accent5"/>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Reversed" id="21">
  <a:schemeClr val="accent1"/>
</cs:colorStyle>
</file>

<file path=xl/charts/colors63.xml><?xml version="1.0" encoding="utf-8"?>
<cs:colorStyle xmlns:cs="http://schemas.microsoft.com/office/drawing/2012/chartStyle" xmlns:a="http://schemas.openxmlformats.org/drawingml/2006/main" meth="withinLinear" id="14">
  <a:schemeClr val="accent1"/>
</cs:colorStyle>
</file>

<file path=xl/charts/colors6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withinLinear" id="18">
  <a:schemeClr val="accent5"/>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70.xml><?xml version="1.0" encoding="utf-8"?>
<cs:colorStyle xmlns:cs="http://schemas.microsoft.com/office/drawing/2012/chartStyle" xmlns:a="http://schemas.openxmlformats.org/drawingml/2006/main" meth="withinLinear" id="14">
  <a:schemeClr val="accent1"/>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withinLinear" id="14">
  <a:schemeClr val="accent1"/>
</cs:colorStyle>
</file>

<file path=xl/charts/colors75.xml><?xml version="1.0" encoding="utf-8"?>
<cs:colorStyle xmlns:cs="http://schemas.microsoft.com/office/drawing/2012/chartStyle" xmlns:a="http://schemas.openxmlformats.org/drawingml/2006/main" meth="withinLinearReversed" id="26">
  <a:schemeClr val="accent6"/>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Reversed" id="21">
  <a:schemeClr val="accent1"/>
</cs:colorStyle>
</file>

<file path=xl/charts/colors7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80.xml><?xml version="1.0" encoding="utf-8"?>
<cs:colorStyle xmlns:cs="http://schemas.microsoft.com/office/drawing/2012/chartStyle" xmlns:a="http://schemas.openxmlformats.org/drawingml/2006/main" meth="withinLinear" id="14">
  <a:schemeClr val="accent1"/>
</cs:colorStyle>
</file>

<file path=xl/charts/colors8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4">
  <a:schemeClr val="accent1"/>
</cs:colorStyle>
</file>

<file path=xl/charts/colors83.xml><?xml version="1.0" encoding="utf-8"?>
<cs:colorStyle xmlns:cs="http://schemas.microsoft.com/office/drawing/2012/chartStyle" xmlns:a="http://schemas.openxmlformats.org/drawingml/2006/main" meth="withinLinear" id="14">
  <a:schemeClr val="accent1"/>
</cs:colorStyle>
</file>

<file path=xl/charts/colors84.xml><?xml version="1.0" encoding="utf-8"?>
<cs:colorStyle xmlns:cs="http://schemas.microsoft.com/office/drawing/2012/chartStyle" xmlns:a="http://schemas.openxmlformats.org/drawingml/2006/main" meth="withinLinear" id="14">
  <a:schemeClr val="accent1"/>
</cs:colorStyle>
</file>

<file path=xl/charts/colors85.xml><?xml version="1.0" encoding="utf-8"?>
<cs:colorStyle xmlns:cs="http://schemas.microsoft.com/office/drawing/2012/chartStyle" xmlns:a="http://schemas.openxmlformats.org/drawingml/2006/main" meth="withinLinear" id="14">
  <a:schemeClr val="accent1"/>
</cs:colorStyle>
</file>

<file path=xl/charts/colors8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Reversed" id="21">
  <a:schemeClr val="accent1"/>
</cs:colorStyle>
</file>

<file path=xl/charts/colors89.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8">
  <a:schemeClr val="accent5"/>
</cs:colorStyle>
</file>

<file path=xl/charts/colors90.xml><?xml version="1.0" encoding="utf-8"?>
<cs:colorStyle xmlns:cs="http://schemas.microsoft.com/office/drawing/2012/chartStyle" xmlns:a="http://schemas.openxmlformats.org/drawingml/2006/main" meth="withinLinear" id="14">
  <a:schemeClr val="accent1"/>
</cs:colorStyle>
</file>

<file path=xl/charts/colors9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withinLinear" id="14">
  <a:schemeClr val="accent1"/>
</cs:colorStyle>
</file>

<file path=xl/charts/colors94.xml><?xml version="1.0" encoding="utf-8"?>
<cs:colorStyle xmlns:cs="http://schemas.microsoft.com/office/drawing/2012/chartStyle" xmlns:a="http://schemas.openxmlformats.org/drawingml/2006/main" meth="withinLinear" id="16">
  <a:schemeClr val="accent3"/>
</cs:colorStyle>
</file>

<file path=xl/charts/colors95.xml><?xml version="1.0" encoding="utf-8"?>
<cs:colorStyle xmlns:cs="http://schemas.microsoft.com/office/drawing/2012/chartStyle" xmlns:a="http://schemas.openxmlformats.org/drawingml/2006/main" meth="withinLinear" id="14">
  <a:schemeClr val="accent1"/>
</cs:colorStyle>
</file>

<file path=xl/charts/colors96.xml><?xml version="1.0" encoding="utf-8"?>
<cs:colorStyle xmlns:cs="http://schemas.microsoft.com/office/drawing/2012/chartStyle" xmlns:a="http://schemas.openxmlformats.org/drawingml/2006/main" meth="withinLinear" id="16">
  <a:schemeClr val="accent3"/>
</cs:colorStyle>
</file>

<file path=xl/charts/colors9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Reversed" id="21">
  <a:schemeClr val="accent1"/>
</cs:colorStyle>
</file>

<file path=xl/charts/colors9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4.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5"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accent1">
                <a:alpha val="90000"/>
                <a:hueOff val="0"/>
                <a:satOff val="0"/>
                <a:lumOff val="0"/>
                <a:alphaOff val="0"/>
                <a:shade val="51000"/>
                <a:satMod val="130000"/>
              </a:schemeClr>
            </a:gs>
            <a:gs pos="80000">
              <a:schemeClr val="accent1">
                <a:alpha val="90000"/>
                <a:hueOff val="0"/>
                <a:satOff val="0"/>
                <a:lumOff val="0"/>
                <a:alphaOff val="0"/>
                <a:shade val="93000"/>
                <a:satMod val="130000"/>
              </a:schemeClr>
            </a:gs>
            <a:gs pos="100000">
              <a:schemeClr val="accent1">
                <a:alpha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shade val="90000"/>
                <a:hueOff val="0"/>
                <a:satOff val="0"/>
                <a:lumOff val="0"/>
                <a:alphaOff val="0"/>
                <a:shade val="51000"/>
                <a:satMod val="130000"/>
              </a:schemeClr>
            </a:gs>
            <a:gs pos="80000">
              <a:schemeClr val="accent1">
                <a:shade val="90000"/>
                <a:hueOff val="0"/>
                <a:satOff val="0"/>
                <a:lumOff val="0"/>
                <a:alphaOff val="0"/>
                <a:shade val="93000"/>
                <a:satMod val="130000"/>
              </a:schemeClr>
            </a:gs>
            <a:gs pos="100000">
              <a:schemeClr val="accent1">
                <a:shade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shade val="90000"/>
                <a:hueOff val="34101"/>
                <a:satOff val="-630"/>
                <a:lumOff val="2921"/>
                <a:alphaOff val="0"/>
                <a:shade val="51000"/>
                <a:satMod val="130000"/>
              </a:schemeClr>
            </a:gs>
            <a:gs pos="80000">
              <a:schemeClr val="accent1">
                <a:shade val="90000"/>
                <a:hueOff val="34101"/>
                <a:satOff val="-630"/>
                <a:lumOff val="2921"/>
                <a:alphaOff val="0"/>
                <a:shade val="93000"/>
                <a:satMod val="130000"/>
              </a:schemeClr>
            </a:gs>
            <a:gs pos="100000">
              <a:schemeClr val="accent1">
                <a:shade val="90000"/>
                <a:hueOff val="34101"/>
                <a:satOff val="-630"/>
                <a:lumOff val="292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shade val="90000"/>
                <a:hueOff val="68202"/>
                <a:satOff val="-1259"/>
                <a:lumOff val="5841"/>
                <a:alphaOff val="0"/>
                <a:shade val="51000"/>
                <a:satMod val="130000"/>
              </a:schemeClr>
            </a:gs>
            <a:gs pos="80000">
              <a:schemeClr val="accent1">
                <a:shade val="90000"/>
                <a:hueOff val="68202"/>
                <a:satOff val="-1259"/>
                <a:lumOff val="5841"/>
                <a:alphaOff val="0"/>
                <a:shade val="93000"/>
                <a:satMod val="130000"/>
              </a:schemeClr>
            </a:gs>
            <a:gs pos="100000">
              <a:schemeClr val="accent1">
                <a:shade val="90000"/>
                <a:hueOff val="68202"/>
                <a:satOff val="-1259"/>
                <a:lumOff val="584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shade val="90000"/>
                <a:hueOff val="102303"/>
                <a:satOff val="-1889"/>
                <a:lumOff val="8762"/>
                <a:alphaOff val="0"/>
                <a:shade val="51000"/>
                <a:satMod val="130000"/>
              </a:schemeClr>
            </a:gs>
            <a:gs pos="80000">
              <a:schemeClr val="accent1">
                <a:shade val="90000"/>
                <a:hueOff val="102303"/>
                <a:satOff val="-1889"/>
                <a:lumOff val="8762"/>
                <a:alphaOff val="0"/>
                <a:shade val="93000"/>
                <a:satMod val="130000"/>
              </a:schemeClr>
            </a:gs>
            <a:gs pos="100000">
              <a:schemeClr val="accent1">
                <a:shade val="90000"/>
                <a:hueOff val="102303"/>
                <a:satOff val="-1889"/>
                <a:lumOff val="8762"/>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accent1">
                <a:alpha val="90000"/>
                <a:hueOff val="0"/>
                <a:satOff val="0"/>
                <a:lumOff val="0"/>
                <a:alphaOff val="-20000"/>
                <a:shade val="51000"/>
                <a:satMod val="130000"/>
              </a:schemeClr>
            </a:gs>
            <a:gs pos="80000">
              <a:schemeClr val="accent1">
                <a:alpha val="90000"/>
                <a:hueOff val="0"/>
                <a:satOff val="0"/>
                <a:lumOff val="0"/>
                <a:alphaOff val="-20000"/>
                <a:shade val="93000"/>
                <a:satMod val="130000"/>
              </a:schemeClr>
            </a:gs>
            <a:gs pos="100000">
              <a:schemeClr val="accent1">
                <a:alpha val="90000"/>
                <a:hueOff val="0"/>
                <a:satOff val="0"/>
                <a:lumOff val="0"/>
                <a:alpha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shade val="90000"/>
                <a:hueOff val="136404"/>
                <a:satOff val="-2519"/>
                <a:lumOff val="11683"/>
                <a:alphaOff val="0"/>
                <a:shade val="51000"/>
                <a:satMod val="130000"/>
              </a:schemeClr>
            </a:gs>
            <a:gs pos="80000">
              <a:schemeClr val="accent1">
                <a:shade val="90000"/>
                <a:hueOff val="136404"/>
                <a:satOff val="-2519"/>
                <a:lumOff val="11683"/>
                <a:alphaOff val="0"/>
                <a:shade val="93000"/>
                <a:satMod val="130000"/>
              </a:schemeClr>
            </a:gs>
            <a:gs pos="100000">
              <a:schemeClr val="accent1">
                <a:shade val="90000"/>
                <a:hueOff val="136404"/>
                <a:satOff val="-2519"/>
                <a:lumOff val="1168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shade val="90000"/>
                <a:hueOff val="170505"/>
                <a:satOff val="-3149"/>
                <a:lumOff val="14603"/>
                <a:alphaOff val="0"/>
                <a:shade val="51000"/>
                <a:satMod val="130000"/>
              </a:schemeClr>
            </a:gs>
            <a:gs pos="80000">
              <a:schemeClr val="accent1">
                <a:shade val="90000"/>
                <a:hueOff val="170505"/>
                <a:satOff val="-3149"/>
                <a:lumOff val="14603"/>
                <a:alphaOff val="0"/>
                <a:shade val="93000"/>
                <a:satMod val="130000"/>
              </a:schemeClr>
            </a:gs>
            <a:gs pos="100000">
              <a:schemeClr val="accent1">
                <a:shade val="90000"/>
                <a:hueOff val="170505"/>
                <a:satOff val="-3149"/>
                <a:lumOff val="1460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shade val="90000"/>
                <a:hueOff val="204606"/>
                <a:satOff val="-3778"/>
                <a:lumOff val="17524"/>
                <a:alphaOff val="0"/>
                <a:shade val="51000"/>
                <a:satMod val="130000"/>
              </a:schemeClr>
            </a:gs>
            <a:gs pos="80000">
              <a:schemeClr val="accent1">
                <a:shade val="90000"/>
                <a:hueOff val="204606"/>
                <a:satOff val="-3778"/>
                <a:lumOff val="17524"/>
                <a:alphaOff val="0"/>
                <a:shade val="93000"/>
                <a:satMod val="130000"/>
              </a:schemeClr>
            </a:gs>
            <a:gs pos="100000">
              <a:schemeClr val="accent1">
                <a:shade val="90000"/>
                <a:hueOff val="204606"/>
                <a:satOff val="-3778"/>
                <a:lumOff val="175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accent1">
                <a:alpha val="90000"/>
                <a:hueOff val="0"/>
                <a:satOff val="0"/>
                <a:lumOff val="0"/>
                <a:alphaOff val="-40000"/>
                <a:shade val="51000"/>
                <a:satMod val="130000"/>
              </a:schemeClr>
            </a:gs>
            <a:gs pos="80000">
              <a:schemeClr val="accent1">
                <a:alpha val="90000"/>
                <a:hueOff val="0"/>
                <a:satOff val="0"/>
                <a:lumOff val="0"/>
                <a:alphaOff val="-40000"/>
                <a:shade val="93000"/>
                <a:satMod val="130000"/>
              </a:schemeClr>
            </a:gs>
            <a:gs pos="100000">
              <a:schemeClr val="accent1">
                <a:alpha val="90000"/>
                <a:hueOff val="0"/>
                <a:satOff val="0"/>
                <a:lumOff val="0"/>
                <a:alpha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shade val="90000"/>
                <a:hueOff val="238707"/>
                <a:satOff val="-4408"/>
                <a:lumOff val="20444"/>
                <a:alphaOff val="0"/>
                <a:shade val="51000"/>
                <a:satMod val="130000"/>
              </a:schemeClr>
            </a:gs>
            <a:gs pos="80000">
              <a:schemeClr val="accent1">
                <a:shade val="90000"/>
                <a:hueOff val="238707"/>
                <a:satOff val="-4408"/>
                <a:lumOff val="20444"/>
                <a:alphaOff val="0"/>
                <a:shade val="93000"/>
                <a:satMod val="130000"/>
              </a:schemeClr>
            </a:gs>
            <a:gs pos="100000">
              <a:schemeClr val="accent1">
                <a:shade val="90000"/>
                <a:hueOff val="238707"/>
                <a:satOff val="-4408"/>
                <a:lumOff val="2044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shade val="90000"/>
                <a:hueOff val="272809"/>
                <a:satOff val="-5038"/>
                <a:lumOff val="23365"/>
                <a:alphaOff val="0"/>
                <a:shade val="51000"/>
                <a:satMod val="130000"/>
              </a:schemeClr>
            </a:gs>
            <a:gs pos="80000">
              <a:schemeClr val="accent1">
                <a:shade val="90000"/>
                <a:hueOff val="272809"/>
                <a:satOff val="-5038"/>
                <a:lumOff val="23365"/>
                <a:alphaOff val="0"/>
                <a:shade val="93000"/>
                <a:satMod val="130000"/>
              </a:schemeClr>
            </a:gs>
            <a:gs pos="100000">
              <a:schemeClr val="accent1">
                <a:shade val="90000"/>
                <a:hueOff val="272809"/>
                <a:satOff val="-5038"/>
                <a:lumOff val="2336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shade val="90000"/>
                <a:hueOff val="306910"/>
                <a:satOff val="-5668"/>
                <a:lumOff val="26286"/>
                <a:alphaOff val="0"/>
                <a:shade val="51000"/>
                <a:satMod val="130000"/>
              </a:schemeClr>
            </a:gs>
            <a:gs pos="80000">
              <a:schemeClr val="accent1">
                <a:shade val="90000"/>
                <a:hueOff val="306910"/>
                <a:satOff val="-5668"/>
                <a:lumOff val="26286"/>
                <a:alphaOff val="0"/>
                <a:shade val="93000"/>
                <a:satMod val="130000"/>
              </a:schemeClr>
            </a:gs>
            <a:gs pos="100000">
              <a:schemeClr val="accent1">
                <a:shade val="90000"/>
                <a:hueOff val="306910"/>
                <a:satOff val="-5668"/>
                <a:lumOff val="262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shade val="90000"/>
                <a:hueOff val="341011"/>
                <a:satOff val="-6297"/>
                <a:lumOff val="29206"/>
                <a:alphaOff val="0"/>
                <a:shade val="51000"/>
                <a:satMod val="130000"/>
              </a:schemeClr>
            </a:gs>
            <a:gs pos="80000">
              <a:schemeClr val="accent1">
                <a:shade val="90000"/>
                <a:hueOff val="341011"/>
                <a:satOff val="-6297"/>
                <a:lumOff val="29206"/>
                <a:alphaOff val="0"/>
                <a:shade val="93000"/>
                <a:satMod val="130000"/>
              </a:schemeClr>
            </a:gs>
            <a:gs pos="100000">
              <a:schemeClr val="accent1">
                <a:shade val="90000"/>
                <a:hueOff val="341011"/>
                <a:satOff val="-6297"/>
                <a:lumOff val="2920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shade val="90000"/>
                <a:hueOff val="375112"/>
                <a:satOff val="-6927"/>
                <a:lumOff val="32127"/>
                <a:alphaOff val="0"/>
                <a:shade val="51000"/>
                <a:satMod val="130000"/>
              </a:schemeClr>
            </a:gs>
            <a:gs pos="80000">
              <a:schemeClr val="accent1">
                <a:shade val="90000"/>
                <a:hueOff val="375112"/>
                <a:satOff val="-6927"/>
                <a:lumOff val="32127"/>
                <a:alphaOff val="0"/>
                <a:shade val="93000"/>
                <a:satMod val="130000"/>
              </a:schemeClr>
            </a:gs>
            <a:gs pos="100000">
              <a:schemeClr val="accent1">
                <a:shade val="90000"/>
                <a:hueOff val="375112"/>
                <a:satOff val="-6927"/>
                <a:lumOff val="3212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3" Type="http://schemas.openxmlformats.org/officeDocument/2006/relationships/chart" Target="../charts/chart25.xml"/><Relationship Id="rId18" Type="http://schemas.openxmlformats.org/officeDocument/2006/relationships/chart" Target="../charts/chart29.xml"/><Relationship Id="rId26" Type="http://schemas.openxmlformats.org/officeDocument/2006/relationships/image" Target="../media/image14.png"/><Relationship Id="rId3" Type="http://schemas.openxmlformats.org/officeDocument/2006/relationships/image" Target="../media/image4.png"/><Relationship Id="rId21" Type="http://schemas.openxmlformats.org/officeDocument/2006/relationships/chart" Target="../charts/chart32.xml"/><Relationship Id="rId7" Type="http://schemas.openxmlformats.org/officeDocument/2006/relationships/chart" Target="../charts/chart20.xml"/><Relationship Id="rId12" Type="http://schemas.openxmlformats.org/officeDocument/2006/relationships/chart" Target="../charts/chart24.xml"/><Relationship Id="rId17" Type="http://schemas.openxmlformats.org/officeDocument/2006/relationships/image" Target="../media/image11.png"/><Relationship Id="rId25" Type="http://schemas.microsoft.com/office/2007/relationships/hdphoto" Target="../media/hdphoto1.wdp"/><Relationship Id="rId33" Type="http://schemas.openxmlformats.org/officeDocument/2006/relationships/image" Target="../media/image21.jpeg"/><Relationship Id="rId2" Type="http://schemas.openxmlformats.org/officeDocument/2006/relationships/chart" Target="../charts/chart16.xml"/><Relationship Id="rId16" Type="http://schemas.openxmlformats.org/officeDocument/2006/relationships/chart" Target="../charts/chart28.xml"/><Relationship Id="rId20" Type="http://schemas.openxmlformats.org/officeDocument/2006/relationships/chart" Target="../charts/chart31.xml"/><Relationship Id="rId29" Type="http://schemas.openxmlformats.org/officeDocument/2006/relationships/image" Target="../media/image17.jpeg"/><Relationship Id="rId1" Type="http://schemas.openxmlformats.org/officeDocument/2006/relationships/chart" Target="../charts/chart15.xml"/><Relationship Id="rId6" Type="http://schemas.openxmlformats.org/officeDocument/2006/relationships/chart" Target="../charts/chart19.xml"/><Relationship Id="rId11" Type="http://schemas.openxmlformats.org/officeDocument/2006/relationships/chart" Target="../charts/chart23.xml"/><Relationship Id="rId24" Type="http://schemas.openxmlformats.org/officeDocument/2006/relationships/image" Target="../media/image13.png"/><Relationship Id="rId32" Type="http://schemas.openxmlformats.org/officeDocument/2006/relationships/image" Target="../media/image20.png"/><Relationship Id="rId5" Type="http://schemas.openxmlformats.org/officeDocument/2006/relationships/chart" Target="../charts/chart18.xml"/><Relationship Id="rId15" Type="http://schemas.openxmlformats.org/officeDocument/2006/relationships/chart" Target="../charts/chart27.xml"/><Relationship Id="rId23" Type="http://schemas.openxmlformats.org/officeDocument/2006/relationships/chart" Target="../charts/chart33.xml"/><Relationship Id="rId28" Type="http://schemas.openxmlformats.org/officeDocument/2006/relationships/image" Target="../media/image16.png"/><Relationship Id="rId10" Type="http://schemas.openxmlformats.org/officeDocument/2006/relationships/image" Target="../media/image10.png"/><Relationship Id="rId19" Type="http://schemas.openxmlformats.org/officeDocument/2006/relationships/chart" Target="../charts/chart30.xml"/><Relationship Id="rId31" Type="http://schemas.openxmlformats.org/officeDocument/2006/relationships/image" Target="../media/image19.png"/><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6.xml"/><Relationship Id="rId22" Type="http://schemas.openxmlformats.org/officeDocument/2006/relationships/image" Target="../media/image12.png"/><Relationship Id="rId27" Type="http://schemas.openxmlformats.org/officeDocument/2006/relationships/image" Target="../media/image15.png"/><Relationship Id="rId30" Type="http://schemas.openxmlformats.org/officeDocument/2006/relationships/image" Target="../media/image18.jpeg"/><Relationship Id="rId8" Type="http://schemas.openxmlformats.org/officeDocument/2006/relationships/chart" Target="../charts/chart21.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1.png"/><Relationship Id="rId1" Type="http://schemas.openxmlformats.org/officeDocument/2006/relationships/hyperlink" Target="#Contenido!A26"/></Relationships>
</file>

<file path=xl/drawings/_rels/drawing102.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1.png"/><Relationship Id="rId1" Type="http://schemas.openxmlformats.org/officeDocument/2006/relationships/hyperlink" Target="#Contenido!A1"/></Relationships>
</file>

<file path=xl/drawings/_rels/drawing10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Relationship Id="rId1" Type="http://schemas.openxmlformats.org/officeDocument/2006/relationships/chart" Target="../charts/chart95.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1.png"/><Relationship Id="rId1" Type="http://schemas.openxmlformats.org/officeDocument/2006/relationships/hyperlink" Target="#Contenido!A26"/></Relationships>
</file>

<file path=xl/drawings/_rels/drawing10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08.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0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7.png"/><Relationship Id="rId1" Type="http://schemas.openxmlformats.org/officeDocument/2006/relationships/hyperlink" Target="#Contenido!A60"/></Relationships>
</file>

<file path=xl/drawings/_rels/drawing11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1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13.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1.png"/><Relationship Id="rId1" Type="http://schemas.openxmlformats.org/officeDocument/2006/relationships/hyperlink" Target="#HOME!A1"/><Relationship Id="rId4" Type="http://schemas.openxmlformats.org/officeDocument/2006/relationships/hyperlink" Target="#Contenido!A74"/></Relationships>
</file>

<file path=xl/drawings/_rels/drawing115.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75"/><Relationship Id="rId1" Type="http://schemas.openxmlformats.org/officeDocument/2006/relationships/chart" Target="../charts/chart99.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78"/><Relationship Id="rId1" Type="http://schemas.openxmlformats.org/officeDocument/2006/relationships/chart" Target="../charts/chart10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79"/><Relationship Id="rId1" Type="http://schemas.openxmlformats.org/officeDocument/2006/relationships/chart" Target="../charts/chart101.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1.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03.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HOME!A1"/><Relationship Id="rId1" Type="http://schemas.openxmlformats.org/officeDocument/2006/relationships/chart" Target="../charts/chart104.xml"/><Relationship Id="rId5" Type="http://schemas.openxmlformats.org/officeDocument/2006/relationships/image" Target="../media/image48.png"/><Relationship Id="rId4" Type="http://schemas.openxmlformats.org/officeDocument/2006/relationships/hyperlink" Target="#Contenido!A1"/></Relationships>
</file>

<file path=xl/drawings/_rels/drawing12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06.xml"/><Relationship Id="rId1" Type="http://schemas.openxmlformats.org/officeDocument/2006/relationships/chart" Target="../charts/chart105.xml"/><Relationship Id="rId4" Type="http://schemas.openxmlformats.org/officeDocument/2006/relationships/image" Target="../media/image41.png"/></Relationships>
</file>

<file path=xl/drawings/_rels/drawing12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108.xml"/><Relationship Id="rId1" Type="http://schemas.openxmlformats.org/officeDocument/2006/relationships/chart" Target="../charts/chart107.xml"/><Relationship Id="rId4" Type="http://schemas.openxmlformats.org/officeDocument/2006/relationships/image" Target="../media/image49.png"/></Relationships>
</file>

<file path=xl/drawings/_rels/drawing12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110.xml"/><Relationship Id="rId1" Type="http://schemas.openxmlformats.org/officeDocument/2006/relationships/chart" Target="../charts/chart109.xml"/><Relationship Id="rId4" Type="http://schemas.openxmlformats.org/officeDocument/2006/relationships/image" Target="../media/image4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3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1.png"/><Relationship Id="rId1" Type="http://schemas.openxmlformats.org/officeDocument/2006/relationships/hyperlink" Target="#Contenido!A1"/></Relationships>
</file>

<file path=xl/drawings/_rels/drawing13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98"/><Relationship Id="rId1" Type="http://schemas.openxmlformats.org/officeDocument/2006/relationships/chart" Target="../charts/chart111.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image" Target="../media/image41.png"/><Relationship Id="rId1" Type="http://schemas.openxmlformats.org/officeDocument/2006/relationships/hyperlink" Target="#HOME!A1"/><Relationship Id="rId4" Type="http://schemas.openxmlformats.org/officeDocument/2006/relationships/hyperlink" Target="#Contenido!A99"/></Relationships>
</file>

<file path=xl/drawings/_rels/drawing136.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image" Target="../media/image41.png"/><Relationship Id="rId1" Type="http://schemas.openxmlformats.org/officeDocument/2006/relationships/hyperlink" Target="#Contenido!A107"/><Relationship Id="rId4" Type="http://schemas.openxmlformats.org/officeDocument/2006/relationships/image" Target="../media/image50.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38.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41.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Relationship Id="rId1" Type="http://schemas.openxmlformats.org/officeDocument/2006/relationships/chart" Target="../charts/chart114.xml"/></Relationships>
</file>

<file path=xl/drawings/_rels/drawing143.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image" Target="../media/image51.png"/><Relationship Id="rId1" Type="http://schemas.openxmlformats.org/officeDocument/2006/relationships/hyperlink" Target="#Contenido!A1"/></Relationships>
</file>

<file path=xl/drawings/_rels/drawing14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Relationship Id="rId1" Type="http://schemas.openxmlformats.org/officeDocument/2006/relationships/chart" Target="../charts/chart116.xml"/></Relationships>
</file>

<file path=xl/drawings/_rels/drawing14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image" Target="../media/image52.png"/><Relationship Id="rId1" Type="http://schemas.openxmlformats.org/officeDocument/2006/relationships/hyperlink" Target="#Contenido!A58"/></Relationships>
</file>

<file path=xl/drawings/_rels/drawing14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43"/><Relationship Id="rId1" Type="http://schemas.openxmlformats.org/officeDocument/2006/relationships/chart" Target="../charts/chart118.xml"/></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image" Target="../media/image41.png"/><Relationship Id="rId1" Type="http://schemas.openxmlformats.org/officeDocument/2006/relationships/hyperlink" Target="#Contenido!A47"/></Relationships>
</file>

<file path=xl/drawings/_rels/drawing151.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46"/><Relationship Id="rId1" Type="http://schemas.openxmlformats.org/officeDocument/2006/relationships/chart" Target="../charts/chart120.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image" Target="../media/image41.png"/><Relationship Id="rId1"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58"/><Relationship Id="rId1" Type="http://schemas.openxmlformats.org/officeDocument/2006/relationships/chart" Target="../charts/chart122.xml"/></Relationships>
</file>

<file path=xl/drawings/_rels/drawing15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156.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83"/><Relationship Id="rId1" Type="http://schemas.openxmlformats.org/officeDocument/2006/relationships/chart" Target="../charts/chart12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84"/><Relationship Id="rId1" Type="http://schemas.openxmlformats.org/officeDocument/2006/relationships/chart" Target="../charts/chart124.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58"/><Relationship Id="rId1" Type="http://schemas.openxmlformats.org/officeDocument/2006/relationships/chart" Target="../charts/chart125.xml"/></Relationships>
</file>

<file path=xl/drawings/_rels/drawing161.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image" Target="../media/image41.png"/><Relationship Id="rId1" Type="http://schemas.openxmlformats.org/officeDocument/2006/relationships/hyperlink" Target="#INDICE!A1"/></Relationships>
</file>

<file path=xl/drawings/_rels/drawing163.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image" Target="../media/image41.png"/></Relationships>
</file>

<file path=xl/drawings/_rels/drawing16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95"/><Relationship Id="rId1" Type="http://schemas.openxmlformats.org/officeDocument/2006/relationships/chart" Target="../charts/chart128.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95"/><Relationship Id="rId1" Type="http://schemas.openxmlformats.org/officeDocument/2006/relationships/chart" Target="../charts/chart129.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image" Target="../media/image41.png"/><Relationship Id="rId1" Type="http://schemas.openxmlformats.org/officeDocument/2006/relationships/hyperlink" Target="#Contenido!A134"/></Relationships>
</file>

<file path=xl/drawings/_rels/drawing16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1.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02"/><Relationship Id="rId1" Type="http://schemas.openxmlformats.org/officeDocument/2006/relationships/chart" Target="../charts/chart131.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7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1.png"/></Relationships>
</file>

<file path=xl/drawings/_rels/drawing17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58"/></Relationships>
</file>

<file path=xl/drawings/_rels/drawing17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chart" Target="../charts/chart13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58"/><Relationship Id="rId1" Type="http://schemas.openxmlformats.org/officeDocument/2006/relationships/chart" Target="../charts/chart133.xml"/></Relationships>
</file>

<file path=xl/drawings/_rels/drawing179.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58"/></Relationships>
</file>

<file path=xl/drawings/_rels/drawing181.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91"/><Relationship Id="rId1" Type="http://schemas.openxmlformats.org/officeDocument/2006/relationships/chart" Target="../charts/chart134.xml"/></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image" Target="../media/image41.png"/><Relationship Id="rId1" Type="http://schemas.openxmlformats.org/officeDocument/2006/relationships/hyperlink" Target="#Contenido!A58"/><Relationship Id="rId4" Type="http://schemas.openxmlformats.org/officeDocument/2006/relationships/image" Target="../media/image54.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8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58"/></Relationships>
</file>

<file path=xl/drawings/_rels/drawing186.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hyperlink" Target="#Contenido!A106"/><Relationship Id="rId1" Type="http://schemas.openxmlformats.org/officeDocument/2006/relationships/chart" Target="../charts/chart136.xml"/><Relationship Id="rId4" Type="http://schemas.openxmlformats.org/officeDocument/2006/relationships/image" Target="../media/image56.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08"/><Relationship Id="rId1" Type="http://schemas.openxmlformats.org/officeDocument/2006/relationships/chart" Target="../charts/chart137.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09"/><Relationship Id="rId1" Type="http://schemas.openxmlformats.org/officeDocument/2006/relationships/chart" Target="../charts/chart138.xml"/></Relationships>
</file>

<file path=xl/drawings/_rels/drawing191.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image" Target="../media/image55.png"/><Relationship Id="rId1" Type="http://schemas.openxmlformats.org/officeDocument/2006/relationships/hyperlink" Target="#INDICE!A1"/></Relationships>
</file>

<file path=xl/drawings/_rels/drawing19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chart" Target="../charts/chart140.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17"/><Relationship Id="rId1" Type="http://schemas.openxmlformats.org/officeDocument/2006/relationships/chart" Target="../charts/chart141.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41.png"/><Relationship Id="rId1" Type="http://schemas.openxmlformats.org/officeDocument/2006/relationships/hyperlink" Target="#Contenido!A134"/></Relationships>
</file>

<file path=xl/drawings/_rels/drawing198.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image" Target="../media/image58.png"/><Relationship Id="rId1" Type="http://schemas.openxmlformats.org/officeDocument/2006/relationships/hyperlink" Target="#Contenido!A148"/></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image" Target="../media/image41.png"/><Relationship Id="rId1" Type="http://schemas.openxmlformats.org/officeDocument/2006/relationships/hyperlink" Target="#Contenido!A148"/><Relationship Id="rId4" Type="http://schemas.openxmlformats.org/officeDocument/2006/relationships/chart" Target="../charts/chart144.xml"/></Relationships>
</file>

<file path=xl/drawings/_rels/drawing26.xml.rels><?xml version="1.0" encoding="UTF-8" standalone="yes"?>
<Relationships xmlns="http://schemas.openxmlformats.org/package/2006/relationships"><Relationship Id="rId13" Type="http://schemas.openxmlformats.org/officeDocument/2006/relationships/chart" Target="../charts/chart45.xml"/><Relationship Id="rId18" Type="http://schemas.openxmlformats.org/officeDocument/2006/relationships/chart" Target="../charts/chart50.xml"/><Relationship Id="rId26" Type="http://schemas.openxmlformats.org/officeDocument/2006/relationships/image" Target="../media/image16.png"/><Relationship Id="rId3" Type="http://schemas.openxmlformats.org/officeDocument/2006/relationships/image" Target="../media/image4.png"/><Relationship Id="rId21" Type="http://schemas.openxmlformats.org/officeDocument/2006/relationships/chart" Target="../charts/chart52.xml"/><Relationship Id="rId34" Type="http://schemas.openxmlformats.org/officeDocument/2006/relationships/image" Target="../media/image24.png"/><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chart" Target="../charts/chart49.xml"/><Relationship Id="rId25" Type="http://schemas.openxmlformats.org/officeDocument/2006/relationships/image" Target="../media/image15.png"/><Relationship Id="rId33" Type="http://schemas.openxmlformats.org/officeDocument/2006/relationships/image" Target="../media/image23.png"/><Relationship Id="rId2" Type="http://schemas.openxmlformats.org/officeDocument/2006/relationships/chart" Target="../charts/chart35.xml"/><Relationship Id="rId16" Type="http://schemas.openxmlformats.org/officeDocument/2006/relationships/chart" Target="../charts/chart48.xml"/><Relationship Id="rId20" Type="http://schemas.openxmlformats.org/officeDocument/2006/relationships/image" Target="../media/image12.png"/><Relationship Id="rId29" Type="http://schemas.openxmlformats.org/officeDocument/2006/relationships/image" Target="../media/image19.png"/><Relationship Id="rId1" Type="http://schemas.openxmlformats.org/officeDocument/2006/relationships/chart" Target="../charts/chart34.xml"/><Relationship Id="rId6" Type="http://schemas.openxmlformats.org/officeDocument/2006/relationships/chart" Target="../charts/chart38.xml"/><Relationship Id="rId11" Type="http://schemas.openxmlformats.org/officeDocument/2006/relationships/chart" Target="../charts/chart43.xml"/><Relationship Id="rId24" Type="http://schemas.openxmlformats.org/officeDocument/2006/relationships/image" Target="../media/image14.png"/><Relationship Id="rId32" Type="http://schemas.openxmlformats.org/officeDocument/2006/relationships/image" Target="../media/image22.png"/><Relationship Id="rId5" Type="http://schemas.openxmlformats.org/officeDocument/2006/relationships/chart" Target="../charts/chart37.xml"/><Relationship Id="rId15" Type="http://schemas.openxmlformats.org/officeDocument/2006/relationships/chart" Target="../charts/chart47.xml"/><Relationship Id="rId23" Type="http://schemas.microsoft.com/office/2007/relationships/hdphoto" Target="../media/hdphoto1.wdp"/><Relationship Id="rId28" Type="http://schemas.openxmlformats.org/officeDocument/2006/relationships/image" Target="../media/image18.jpeg"/><Relationship Id="rId36" Type="http://schemas.openxmlformats.org/officeDocument/2006/relationships/image" Target="../media/image26.jpeg"/><Relationship Id="rId10" Type="http://schemas.openxmlformats.org/officeDocument/2006/relationships/chart" Target="../charts/chart42.xml"/><Relationship Id="rId19" Type="http://schemas.openxmlformats.org/officeDocument/2006/relationships/chart" Target="../charts/chart51.xml"/><Relationship Id="rId31" Type="http://schemas.openxmlformats.org/officeDocument/2006/relationships/chart" Target="../charts/chart53.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 Id="rId22" Type="http://schemas.openxmlformats.org/officeDocument/2006/relationships/image" Target="../media/image13.png"/><Relationship Id="rId27" Type="http://schemas.openxmlformats.org/officeDocument/2006/relationships/image" Target="../media/image17.jpeg"/><Relationship Id="rId30" Type="http://schemas.openxmlformats.org/officeDocument/2006/relationships/image" Target="../media/image8.jpeg"/><Relationship Id="rId35" Type="http://schemas.openxmlformats.org/officeDocument/2006/relationships/image" Target="../media/image25.png"/><Relationship Id="rId8"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chart" Target="../charts/chart9.xml"/><Relationship Id="rId18" Type="http://schemas.openxmlformats.org/officeDocument/2006/relationships/chart" Target="../charts/chart14.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8.xml"/><Relationship Id="rId17" Type="http://schemas.openxmlformats.org/officeDocument/2006/relationships/chart" Target="../charts/chart13.xml"/><Relationship Id="rId2" Type="http://schemas.openxmlformats.org/officeDocument/2006/relationships/chart" Target="../charts/chart2.xml"/><Relationship Id="rId16" Type="http://schemas.openxmlformats.org/officeDocument/2006/relationships/chart" Target="../charts/chart12.xml"/><Relationship Id="rId20" Type="http://schemas.openxmlformats.org/officeDocument/2006/relationships/image" Target="../media/image9.png"/><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7.xml"/><Relationship Id="rId5" Type="http://schemas.openxmlformats.org/officeDocument/2006/relationships/chart" Target="../charts/chart4.xml"/><Relationship Id="rId15" Type="http://schemas.openxmlformats.org/officeDocument/2006/relationships/chart" Target="../charts/chart11.xml"/><Relationship Id="rId10" Type="http://schemas.openxmlformats.org/officeDocument/2006/relationships/image" Target="../media/image7.png"/><Relationship Id="rId19" Type="http://schemas.openxmlformats.org/officeDocument/2006/relationships/image" Target="../media/image8.jpeg"/><Relationship Id="rId4" Type="http://schemas.openxmlformats.org/officeDocument/2006/relationships/image" Target="../media/image4.png"/><Relationship Id="rId9" Type="http://schemas.openxmlformats.org/officeDocument/2006/relationships/image" Target="../media/image6.png"/><Relationship Id="rId14" Type="http://schemas.openxmlformats.org/officeDocument/2006/relationships/chart" Target="../charts/chart10.xml"/></Relationships>
</file>

<file path=xl/drawings/_rels/drawing44.xml.rels><?xml version="1.0" encoding="UTF-8" standalone="yes"?>
<Relationships xmlns="http://schemas.openxmlformats.org/package/2006/relationships"><Relationship Id="rId13" Type="http://schemas.openxmlformats.org/officeDocument/2006/relationships/image" Target="../media/image30.png"/><Relationship Id="rId18" Type="http://schemas.openxmlformats.org/officeDocument/2006/relationships/chart" Target="../charts/chart63.xml"/><Relationship Id="rId26" Type="http://schemas.openxmlformats.org/officeDocument/2006/relationships/chart" Target="../charts/chart71.xml"/><Relationship Id="rId39" Type="http://schemas.openxmlformats.org/officeDocument/2006/relationships/image" Target="../media/image22.png"/><Relationship Id="rId21" Type="http://schemas.openxmlformats.org/officeDocument/2006/relationships/chart" Target="../charts/chart66.xml"/><Relationship Id="rId34" Type="http://schemas.openxmlformats.org/officeDocument/2006/relationships/image" Target="../media/image17.jpeg"/><Relationship Id="rId42" Type="http://schemas.openxmlformats.org/officeDocument/2006/relationships/image" Target="../media/image23.png"/><Relationship Id="rId7" Type="http://schemas.openxmlformats.org/officeDocument/2006/relationships/chart" Target="../charts/chart59.xml"/><Relationship Id="rId2" Type="http://schemas.openxmlformats.org/officeDocument/2006/relationships/chart" Target="../charts/chart55.xml"/><Relationship Id="rId16" Type="http://schemas.openxmlformats.org/officeDocument/2006/relationships/image" Target="../media/image32.png"/><Relationship Id="rId20" Type="http://schemas.openxmlformats.org/officeDocument/2006/relationships/chart" Target="../charts/chart65.xml"/><Relationship Id="rId29" Type="http://schemas.openxmlformats.org/officeDocument/2006/relationships/image" Target="../media/image13.png"/><Relationship Id="rId41" Type="http://schemas.openxmlformats.org/officeDocument/2006/relationships/image" Target="../media/image34.png"/><Relationship Id="rId1" Type="http://schemas.openxmlformats.org/officeDocument/2006/relationships/chart" Target="../charts/chart54.xml"/><Relationship Id="rId6" Type="http://schemas.openxmlformats.org/officeDocument/2006/relationships/chart" Target="../charts/chart58.xml"/><Relationship Id="rId11" Type="http://schemas.openxmlformats.org/officeDocument/2006/relationships/image" Target="../media/image28.png"/><Relationship Id="rId24" Type="http://schemas.openxmlformats.org/officeDocument/2006/relationships/chart" Target="../charts/chart69.xml"/><Relationship Id="rId32" Type="http://schemas.openxmlformats.org/officeDocument/2006/relationships/image" Target="../media/image15.png"/><Relationship Id="rId37" Type="http://schemas.openxmlformats.org/officeDocument/2006/relationships/image" Target="../media/image8.jpeg"/><Relationship Id="rId40" Type="http://schemas.openxmlformats.org/officeDocument/2006/relationships/image" Target="../media/image33.png"/><Relationship Id="rId5" Type="http://schemas.openxmlformats.org/officeDocument/2006/relationships/chart" Target="../charts/chart57.xml"/><Relationship Id="rId15" Type="http://schemas.openxmlformats.org/officeDocument/2006/relationships/image" Target="../media/image10.png"/><Relationship Id="rId23" Type="http://schemas.openxmlformats.org/officeDocument/2006/relationships/chart" Target="../charts/chart68.xml"/><Relationship Id="rId28" Type="http://schemas.openxmlformats.org/officeDocument/2006/relationships/chart" Target="../charts/chart72.xml"/><Relationship Id="rId36" Type="http://schemas.openxmlformats.org/officeDocument/2006/relationships/image" Target="../media/image19.png"/><Relationship Id="rId10" Type="http://schemas.openxmlformats.org/officeDocument/2006/relationships/image" Target="../media/image27.png"/><Relationship Id="rId19" Type="http://schemas.openxmlformats.org/officeDocument/2006/relationships/chart" Target="../charts/chart64.xml"/><Relationship Id="rId31" Type="http://schemas.openxmlformats.org/officeDocument/2006/relationships/image" Target="../media/image14.png"/><Relationship Id="rId44" Type="http://schemas.openxmlformats.org/officeDocument/2006/relationships/image" Target="../media/image25.png"/><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image" Target="../media/image31.png"/><Relationship Id="rId22" Type="http://schemas.openxmlformats.org/officeDocument/2006/relationships/chart" Target="../charts/chart67.xml"/><Relationship Id="rId27" Type="http://schemas.openxmlformats.org/officeDocument/2006/relationships/image" Target="../media/image12.png"/><Relationship Id="rId30" Type="http://schemas.microsoft.com/office/2007/relationships/hdphoto" Target="../media/hdphoto1.wdp"/><Relationship Id="rId35" Type="http://schemas.openxmlformats.org/officeDocument/2006/relationships/image" Target="../media/image18.jpeg"/><Relationship Id="rId43" Type="http://schemas.openxmlformats.org/officeDocument/2006/relationships/image" Target="../media/image24.png"/><Relationship Id="rId8" Type="http://schemas.openxmlformats.org/officeDocument/2006/relationships/chart" Target="../charts/chart60.xml"/><Relationship Id="rId3" Type="http://schemas.openxmlformats.org/officeDocument/2006/relationships/image" Target="../media/image4.png"/><Relationship Id="rId12" Type="http://schemas.openxmlformats.org/officeDocument/2006/relationships/image" Target="../media/image29.png"/><Relationship Id="rId17" Type="http://schemas.openxmlformats.org/officeDocument/2006/relationships/chart" Target="../charts/chart62.xml"/><Relationship Id="rId25" Type="http://schemas.openxmlformats.org/officeDocument/2006/relationships/chart" Target="../charts/chart70.xml"/><Relationship Id="rId33" Type="http://schemas.openxmlformats.org/officeDocument/2006/relationships/image" Target="../media/image16.png"/><Relationship Id="rId38" Type="http://schemas.openxmlformats.org/officeDocument/2006/relationships/chart" Target="../charts/chart73.xml"/></Relationships>
</file>

<file path=xl/drawings/_rels/drawing62.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chart" Target="../charts/chart75.xml"/><Relationship Id="rId7" Type="http://schemas.openxmlformats.org/officeDocument/2006/relationships/chart" Target="../charts/chart79.xml"/><Relationship Id="rId2" Type="http://schemas.openxmlformats.org/officeDocument/2006/relationships/chart" Target="../charts/chart74.xml"/><Relationship Id="rId1" Type="http://schemas.openxmlformats.org/officeDocument/2006/relationships/image" Target="../media/image35.png"/><Relationship Id="rId6" Type="http://schemas.openxmlformats.org/officeDocument/2006/relationships/chart" Target="../charts/chart78.xml"/><Relationship Id="rId5" Type="http://schemas.openxmlformats.org/officeDocument/2006/relationships/chart" Target="../charts/chart77.xml"/><Relationship Id="rId10" Type="http://schemas.openxmlformats.org/officeDocument/2006/relationships/chart" Target="../charts/chart81.xml"/><Relationship Id="rId4" Type="http://schemas.openxmlformats.org/officeDocument/2006/relationships/chart" Target="../charts/chart76.xml"/><Relationship Id="rId9" Type="http://schemas.openxmlformats.org/officeDocument/2006/relationships/chart" Target="../charts/chart80.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image" Target="../media/image39.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0.tmp"/><Relationship Id="rId2" Type="http://schemas.openxmlformats.org/officeDocument/2006/relationships/image" Target="../media/image38.png"/><Relationship Id="rId1" Type="http://schemas.openxmlformats.org/officeDocument/2006/relationships/image" Target="../media/image37.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HOME!A1"/></Relationships>
</file>

<file path=xl/drawings/_rels/drawing7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HOME!A1"/></Relationships>
</file>

<file path=xl/drawings/_rels/drawing7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HOME!A1"/></Relationships>
</file>

<file path=xl/drawings/_rels/drawing7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HOME!A1"/></Relationships>
</file>

<file path=xl/drawings/_rels/drawing7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image" Target="../media/image41.png"/><Relationship Id="rId2" Type="http://schemas.microsoft.com/office/2007/relationships/hdphoto" Target="../media/hdphoto2.wdp"/><Relationship Id="rId1" Type="http://schemas.openxmlformats.org/officeDocument/2006/relationships/image" Target="../media/image42.png"/><Relationship Id="rId5" Type="http://schemas.openxmlformats.org/officeDocument/2006/relationships/hyperlink" Target="#Contenido!A1"/><Relationship Id="rId4" Type="http://schemas.openxmlformats.org/officeDocument/2006/relationships/image" Target="../media/image43.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78.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4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4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82.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hyperlink" Target="#Contenido!A134"/><Relationship Id="rId1" Type="http://schemas.openxmlformats.org/officeDocument/2006/relationships/chart" Target="../charts/chart85.xml"/><Relationship Id="rId4" Type="http://schemas.openxmlformats.org/officeDocument/2006/relationships/chart" Target="../charts/chart86.xml"/></Relationships>
</file>

<file path=xl/drawings/_rels/drawing85.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34"/><Relationship Id="rId1" Type="http://schemas.openxmlformats.org/officeDocument/2006/relationships/chart" Target="../charts/chart87.xml"/><Relationship Id="rId4" Type="http://schemas.openxmlformats.org/officeDocument/2006/relationships/chart" Target="../charts/chart88.xml"/></Relationships>
</file>

<file path=xl/drawings/_rels/drawing8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89.xml.rels><?xml version="1.0" encoding="UTF-8" standalone="yes"?>
<Relationships xmlns="http://schemas.openxmlformats.org/package/2006/relationships"><Relationship Id="rId1" Type="http://schemas.openxmlformats.org/officeDocument/2006/relationships/image" Target="../media/image41.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1.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Relationship Id="rId1" Type="http://schemas.openxmlformats.org/officeDocument/2006/relationships/chart" Target="../charts/chart89.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image" Target="../media/image41.png"/><Relationship Id="rId1" Type="http://schemas.openxmlformats.org/officeDocument/2006/relationships/hyperlink" Target="#Contenido!A1"/><Relationship Id="rId4" Type="http://schemas.openxmlformats.org/officeDocument/2006/relationships/chart" Target="../charts/chart91.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1"/><Relationship Id="rId1" Type="http://schemas.openxmlformats.org/officeDocument/2006/relationships/chart" Target="../charts/chart92.xml"/><Relationship Id="rId4" Type="http://schemas.openxmlformats.org/officeDocument/2006/relationships/image" Target="../media/image45.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Contenido!A1"/></Relationships>
</file>

<file path=xl/drawings/_rels/drawing9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Contenido!A24"/><Relationship Id="rId1"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MArzo 2025</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21</xdr:row>
      <xdr:rowOff>609600</xdr:rowOff>
    </xdr:from>
    <xdr:to>
      <xdr:col>6</xdr:col>
      <xdr:colOff>419100</xdr:colOff>
      <xdr:row>38</xdr:row>
      <xdr:rowOff>152400</xdr:rowOff>
    </xdr:to>
    <xdr:graphicFrame macro="">
      <xdr:nvGraphicFramePr>
        <xdr:cNvPr id="2" name="Gráfico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800100</xdr:colOff>
      <xdr:row>6</xdr:row>
      <xdr:rowOff>152400</xdr:rowOff>
    </xdr:from>
    <xdr:to>
      <xdr:col>7</xdr:col>
      <xdr:colOff>2438400</xdr:colOff>
      <xdr:row>21</xdr:row>
      <xdr:rowOff>685801</xdr:rowOff>
    </xdr:to>
    <xdr:graphicFrame macro="">
      <xdr:nvGraphicFramePr>
        <xdr:cNvPr id="3" name="Gráfico 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414338</xdr:colOff>
      <xdr:row>0</xdr:row>
      <xdr:rowOff>338138</xdr:rowOff>
    </xdr:from>
    <xdr:to>
      <xdr:col>2</xdr:col>
      <xdr:colOff>2324100</xdr:colOff>
      <xdr:row>0</xdr:row>
      <xdr:rowOff>3275508</xdr:rowOff>
    </xdr:to>
    <xdr:pic>
      <xdr:nvPicPr>
        <xdr:cNvPr id="5" name="Imagen 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7838" y="338138"/>
          <a:ext cx="4805362" cy="2937370"/>
        </a:xfrm>
        <a:prstGeom prst="rect">
          <a:avLst/>
        </a:prstGeom>
      </xdr:spPr>
    </xdr:pic>
    <xdr:clientData/>
  </xdr:twoCellAnchor>
  <xdr:twoCellAnchor>
    <xdr:from>
      <xdr:col>0</xdr:col>
      <xdr:colOff>0</xdr:colOff>
      <xdr:row>101</xdr:row>
      <xdr:rowOff>1638300</xdr:rowOff>
    </xdr:from>
    <xdr:to>
      <xdr:col>5</xdr:col>
      <xdr:colOff>6438900</xdr:colOff>
      <xdr:row>106</xdr:row>
      <xdr:rowOff>304800</xdr:rowOff>
    </xdr:to>
    <xdr:graphicFrame macro="">
      <xdr:nvGraphicFramePr>
        <xdr:cNvPr id="6" name="Gráfico 5">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876300</xdr:colOff>
      <xdr:row>7</xdr:row>
      <xdr:rowOff>38100</xdr:rowOff>
    </xdr:from>
    <xdr:to>
      <xdr:col>26</xdr:col>
      <xdr:colOff>190500</xdr:colOff>
      <xdr:row>21</xdr:row>
      <xdr:rowOff>38100</xdr:rowOff>
    </xdr:to>
    <xdr:graphicFrame macro="">
      <xdr:nvGraphicFramePr>
        <xdr:cNvPr id="31" name="6 Gráfico">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444522</xdr:colOff>
      <xdr:row>48</xdr:row>
      <xdr:rowOff>419100</xdr:rowOff>
    </xdr:from>
    <xdr:to>
      <xdr:col>6</xdr:col>
      <xdr:colOff>419099</xdr:colOff>
      <xdr:row>61</xdr:row>
      <xdr:rowOff>2819399</xdr:rowOff>
    </xdr:to>
    <xdr:graphicFrame macro="">
      <xdr:nvGraphicFramePr>
        <xdr:cNvPr id="36" name="Gráfico 35">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5791200</xdr:colOff>
      <xdr:row>101</xdr:row>
      <xdr:rowOff>1524000</xdr:rowOff>
    </xdr:from>
    <xdr:to>
      <xdr:col>12</xdr:col>
      <xdr:colOff>1066800</xdr:colOff>
      <xdr:row>106</xdr:row>
      <xdr:rowOff>342900</xdr:rowOff>
    </xdr:to>
    <xdr:graphicFrame macro="">
      <xdr:nvGraphicFramePr>
        <xdr:cNvPr id="37" name="Gráfico 36">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53</xdr:col>
      <xdr:colOff>0</xdr:colOff>
      <xdr:row>104</xdr:row>
      <xdr:rowOff>0</xdr:rowOff>
    </xdr:from>
    <xdr:to>
      <xdr:col>53</xdr:col>
      <xdr:colOff>304800</xdr:colOff>
      <xdr:row>104</xdr:row>
      <xdr:rowOff>304800</xdr:rowOff>
    </xdr:to>
    <xdr:sp macro="" textlink="">
      <xdr:nvSpPr>
        <xdr:cNvPr id="38" name="AutoShape 1" descr="Cuál es el significado de la palabra 'OK'? ¿Por qué se usa? | Marca">
          <a:extLst>
            <a:ext uri="{FF2B5EF4-FFF2-40B4-BE49-F238E27FC236}">
              <a16:creationId xmlns:a16="http://schemas.microsoft.com/office/drawing/2014/main" id="{00000000-0008-0000-0500-000001100000}"/>
            </a:ext>
          </a:extLst>
        </xdr:cNvPr>
        <xdr:cNvSpPr>
          <a:spLocks noChangeAspect="1" noChangeArrowheads="1"/>
        </xdr:cNvSpPr>
      </xdr:nvSpPr>
      <xdr:spPr bwMode="auto">
        <a:xfrm>
          <a:off x="54768750" y="110042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53</xdr:col>
      <xdr:colOff>0</xdr:colOff>
      <xdr:row>104</xdr:row>
      <xdr:rowOff>0</xdr:rowOff>
    </xdr:from>
    <xdr:to>
      <xdr:col>53</xdr:col>
      <xdr:colOff>304800</xdr:colOff>
      <xdr:row>104</xdr:row>
      <xdr:rowOff>304800</xdr:rowOff>
    </xdr:to>
    <xdr:sp macro="" textlink="">
      <xdr:nvSpPr>
        <xdr:cNvPr id="39" name="AutoShape 2" descr="Cuál es el significado de la palabra 'OK'? ¿Por qué se usa? | Marca">
          <a:extLst>
            <a:ext uri="{FF2B5EF4-FFF2-40B4-BE49-F238E27FC236}">
              <a16:creationId xmlns:a16="http://schemas.microsoft.com/office/drawing/2014/main" id="{00000000-0008-0000-0500-000002100000}"/>
            </a:ext>
          </a:extLst>
        </xdr:cNvPr>
        <xdr:cNvSpPr>
          <a:spLocks noChangeAspect="1" noChangeArrowheads="1"/>
        </xdr:cNvSpPr>
      </xdr:nvSpPr>
      <xdr:spPr bwMode="auto">
        <a:xfrm>
          <a:off x="54768750" y="110042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304800</xdr:colOff>
      <xdr:row>6</xdr:row>
      <xdr:rowOff>342899</xdr:rowOff>
    </xdr:from>
    <xdr:to>
      <xdr:col>4</xdr:col>
      <xdr:colOff>2705100</xdr:colOff>
      <xdr:row>22</xdr:row>
      <xdr:rowOff>38100</xdr:rowOff>
    </xdr:to>
    <xdr:graphicFrame macro="">
      <xdr:nvGraphicFramePr>
        <xdr:cNvPr id="40" name="Gráfico 39">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xdr:row>
      <xdr:rowOff>228600</xdr:rowOff>
    </xdr:from>
    <xdr:to>
      <xdr:col>12</xdr:col>
      <xdr:colOff>1524000</xdr:colOff>
      <xdr:row>4</xdr:row>
      <xdr:rowOff>152400</xdr:rowOff>
    </xdr:to>
    <xdr:sp macro="" textlink="">
      <xdr:nvSpPr>
        <xdr:cNvPr id="45" name="Rectángulo redondeado 44">
          <a:extLst>
            <a:ext uri="{FF2B5EF4-FFF2-40B4-BE49-F238E27FC236}">
              <a16:creationId xmlns:a16="http://schemas.microsoft.com/office/drawing/2014/main" id="{00000000-0008-0000-0900-00002D000000}"/>
            </a:ext>
          </a:extLst>
        </xdr:cNvPr>
        <xdr:cNvSpPr/>
      </xdr:nvSpPr>
      <xdr:spPr>
        <a:xfrm>
          <a:off x="0" y="5448300"/>
          <a:ext cx="46443900" cy="495300"/>
        </a:xfrm>
        <a:prstGeom prst="roundRect">
          <a:avLst/>
        </a:prstGeom>
        <a:solidFill>
          <a:srgbClr val="00A94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0</xdr:col>
      <xdr:colOff>0</xdr:colOff>
      <xdr:row>1</xdr:row>
      <xdr:rowOff>220809</xdr:rowOff>
    </xdr:from>
    <xdr:to>
      <xdr:col>13</xdr:col>
      <xdr:colOff>114300</xdr:colOff>
      <xdr:row>4</xdr:row>
      <xdr:rowOff>1371600</xdr:rowOff>
    </xdr:to>
    <xdr:grpSp>
      <xdr:nvGrpSpPr>
        <xdr:cNvPr id="114688" name="Grupo 114687">
          <a:extLst>
            <a:ext uri="{FF2B5EF4-FFF2-40B4-BE49-F238E27FC236}">
              <a16:creationId xmlns:a16="http://schemas.microsoft.com/office/drawing/2014/main" id="{00000000-0008-0000-0900-000000C00100}"/>
            </a:ext>
          </a:extLst>
        </xdr:cNvPr>
        <xdr:cNvGrpSpPr/>
      </xdr:nvGrpSpPr>
      <xdr:grpSpPr>
        <a:xfrm>
          <a:off x="0" y="3983184"/>
          <a:ext cx="46634400" cy="3198666"/>
          <a:chOff x="249606" y="3990855"/>
          <a:chExt cx="47435545" cy="4719574"/>
        </a:xfrm>
        <a:solidFill>
          <a:schemeClr val="bg1">
            <a:lumMod val="50000"/>
          </a:schemeClr>
        </a:solidFill>
        <a:effectLst>
          <a:glow rad="101600">
            <a:schemeClr val="accent1">
              <a:satMod val="175000"/>
              <a:alpha val="40000"/>
            </a:schemeClr>
          </a:glow>
        </a:effectLst>
      </xdr:grpSpPr>
      <xdr:sp macro="" textlink="">
        <xdr:nvSpPr>
          <xdr:cNvPr id="46" name="Rectángulo redondeado 45">
            <a:extLst>
              <a:ext uri="{FF2B5EF4-FFF2-40B4-BE49-F238E27FC236}">
                <a16:creationId xmlns:a16="http://schemas.microsoft.com/office/drawing/2014/main" id="{00000000-0008-0000-0900-00002E000000}"/>
              </a:ext>
            </a:extLst>
          </xdr:cNvPr>
          <xdr:cNvSpPr/>
        </xdr:nvSpPr>
        <xdr:spPr>
          <a:xfrm>
            <a:off x="249606" y="3999536"/>
            <a:ext cx="7905923" cy="4583572"/>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97.5%</a:t>
            </a:r>
          </a:p>
          <a:p>
            <a:pPr algn="ctr" eaLnBrk="1" fontAlgn="auto" latinLnBrk="0" hangingPunct="1"/>
            <a:r>
              <a:rPr lang="es-DO" sz="5400" b="1">
                <a:solidFill>
                  <a:schemeClr val="lt1"/>
                </a:solidFill>
                <a:effectLst/>
                <a:latin typeface="+mn-lt"/>
                <a:ea typeface="+mn-ea"/>
                <a:cs typeface="+mn-cs"/>
              </a:rPr>
              <a:t>% Afiliado</a:t>
            </a:r>
            <a:r>
              <a:rPr lang="es-DO" sz="5400" b="1" baseline="0">
                <a:solidFill>
                  <a:schemeClr val="lt1"/>
                </a:solidFill>
                <a:effectLst/>
                <a:latin typeface="+mn-lt"/>
                <a:ea typeface="+mn-ea"/>
                <a:cs typeface="+mn-cs"/>
              </a:rPr>
              <a:t> SFS </a:t>
            </a:r>
            <a:r>
              <a:rPr lang="es-DO" sz="5400" b="1">
                <a:solidFill>
                  <a:schemeClr val="lt1"/>
                </a:solidFill>
                <a:effectLst/>
                <a:latin typeface="+mn-lt"/>
                <a:ea typeface="+mn-ea"/>
                <a:cs typeface="+mn-cs"/>
              </a:rPr>
              <a:t>de la Población Nacional</a:t>
            </a:r>
            <a:endParaRPr lang="es-DO" sz="49600">
              <a:effectLst/>
            </a:endParaRPr>
          </a:p>
        </xdr:txBody>
      </xdr:sp>
      <xdr:sp macro="" textlink="">
        <xdr:nvSpPr>
          <xdr:cNvPr id="48" name="Rectángulo redondeado 47">
            <a:extLst>
              <a:ext uri="{FF2B5EF4-FFF2-40B4-BE49-F238E27FC236}">
                <a16:creationId xmlns:a16="http://schemas.microsoft.com/office/drawing/2014/main" id="{00000000-0008-0000-0900-000030000000}"/>
              </a:ext>
            </a:extLst>
          </xdr:cNvPr>
          <xdr:cNvSpPr/>
        </xdr:nvSpPr>
        <xdr:spPr>
          <a:xfrm>
            <a:off x="8662084" y="4084415"/>
            <a:ext cx="7556700" cy="4498693"/>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10,541,095</a:t>
            </a:r>
          </a:p>
          <a:p>
            <a:pPr marL="0" marR="0" indent="0" algn="ctr" defTabSz="914400" eaLnBrk="1" fontAlgn="auto" latinLnBrk="0" hangingPunct="1">
              <a:lnSpc>
                <a:spcPct val="100000"/>
              </a:lnSpc>
              <a:spcBef>
                <a:spcPts val="0"/>
              </a:spcBef>
              <a:spcAft>
                <a:spcPts val="0"/>
              </a:spcAft>
              <a:buClrTx/>
              <a:buSzTx/>
              <a:buFontTx/>
              <a:buNone/>
              <a:tabLst/>
              <a:defRPr/>
            </a:pPr>
            <a:r>
              <a:rPr lang="es-DO" sz="6600" b="1">
                <a:solidFill>
                  <a:schemeClr val="bg1"/>
                </a:solidFill>
                <a:effectLst/>
                <a:latin typeface="+mn-lt"/>
                <a:ea typeface="+mn-ea"/>
                <a:cs typeface="+mn-cs"/>
              </a:rPr>
              <a:t>Afiliación SFS</a:t>
            </a:r>
            <a:endParaRPr lang="es-DO" sz="7200">
              <a:solidFill>
                <a:schemeClr val="bg1"/>
              </a:solidFill>
            </a:endParaRPr>
          </a:p>
        </xdr:txBody>
      </xdr:sp>
      <xdr:sp macro="" textlink="">
        <xdr:nvSpPr>
          <xdr:cNvPr id="49" name="Rectángulo redondeado 48">
            <a:extLst>
              <a:ext uri="{FF2B5EF4-FFF2-40B4-BE49-F238E27FC236}">
                <a16:creationId xmlns:a16="http://schemas.microsoft.com/office/drawing/2014/main" id="{00000000-0008-0000-0900-000031000000}"/>
              </a:ext>
            </a:extLst>
          </xdr:cNvPr>
          <xdr:cNvSpPr/>
        </xdr:nvSpPr>
        <xdr:spPr>
          <a:xfrm>
            <a:off x="16746710" y="3990855"/>
            <a:ext cx="7456665" cy="4592253"/>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endParaRPr lang="es-DO" sz="20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2,482,646</a:t>
            </a:r>
          </a:p>
          <a:p>
            <a:pPr marL="0" marR="0" indent="0" algn="ctr" defTabSz="914400" eaLnBrk="1" fontAlgn="auto" latinLnBrk="0" hangingPunct="1">
              <a:lnSpc>
                <a:spcPct val="100000"/>
              </a:lnSpc>
              <a:spcBef>
                <a:spcPts val="0"/>
              </a:spcBef>
              <a:spcAft>
                <a:spcPts val="0"/>
              </a:spcAft>
              <a:buClrTx/>
              <a:buSzTx/>
              <a:buFontTx/>
              <a:buNone/>
              <a:tabLst/>
              <a:defRPr/>
            </a:pPr>
            <a:r>
              <a:rPr lang="es-DO" sz="6600" b="1">
                <a:solidFill>
                  <a:schemeClr val="bg1"/>
                </a:solidFill>
                <a:effectLst/>
                <a:latin typeface="+mn-lt"/>
                <a:ea typeface="+mn-ea"/>
                <a:cs typeface="+mn-cs"/>
              </a:rPr>
              <a:t>Afiliación</a:t>
            </a:r>
            <a:r>
              <a:rPr lang="es-DO" sz="6600" b="1" baseline="0">
                <a:solidFill>
                  <a:schemeClr val="bg1"/>
                </a:solidFill>
                <a:effectLst/>
                <a:latin typeface="+mn-lt"/>
                <a:ea typeface="+mn-ea"/>
                <a:cs typeface="+mn-cs"/>
              </a:rPr>
              <a:t> SRL</a:t>
            </a:r>
            <a:endParaRPr lang="es-DO" sz="6600">
              <a:solidFill>
                <a:schemeClr val="bg1"/>
              </a:solidFill>
            </a:endParaRPr>
          </a:p>
        </xdr:txBody>
      </xdr:sp>
      <xdr:sp macro="" textlink="">
        <xdr:nvSpPr>
          <xdr:cNvPr id="50" name="Rectángulo redondeado 49">
            <a:extLst>
              <a:ext uri="{FF2B5EF4-FFF2-40B4-BE49-F238E27FC236}">
                <a16:creationId xmlns:a16="http://schemas.microsoft.com/office/drawing/2014/main" id="{00000000-0008-0000-0900-000032000000}"/>
              </a:ext>
            </a:extLst>
          </xdr:cNvPr>
          <xdr:cNvSpPr/>
        </xdr:nvSpPr>
        <xdr:spPr>
          <a:xfrm>
            <a:off x="32867956" y="4096473"/>
            <a:ext cx="7238999" cy="4571516"/>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endParaRPr lang="es-DO" sz="12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RD$ 1,683.22</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PerCápita del SFS RC  </a:t>
            </a:r>
            <a:endParaRPr lang="es-DO" sz="6000">
              <a:solidFill>
                <a:schemeClr val="bg1"/>
              </a:solidFill>
            </a:endParaRPr>
          </a:p>
        </xdr:txBody>
      </xdr:sp>
      <xdr:sp macro="" textlink="">
        <xdr:nvSpPr>
          <xdr:cNvPr id="51" name="Rectángulo redondeado 50">
            <a:extLst>
              <a:ext uri="{FF2B5EF4-FFF2-40B4-BE49-F238E27FC236}">
                <a16:creationId xmlns:a16="http://schemas.microsoft.com/office/drawing/2014/main" id="{00000000-0008-0000-0900-000033000000}"/>
              </a:ext>
            </a:extLst>
          </xdr:cNvPr>
          <xdr:cNvSpPr/>
        </xdr:nvSpPr>
        <xdr:spPr>
          <a:xfrm>
            <a:off x="40598551" y="4096473"/>
            <a:ext cx="7086600" cy="4613956"/>
          </a:xfrm>
          <a:prstGeom prst="roundRect">
            <a:avLst/>
          </a:prstGeom>
          <a:grpFill/>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endParaRPr lang="es-DO" sz="12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RD$259.43</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PerCápita del SFS RS  </a:t>
            </a:r>
          </a:p>
        </xdr:txBody>
      </xdr:sp>
      <xdr:sp macro="" textlink="">
        <xdr:nvSpPr>
          <xdr:cNvPr id="52" name="Rectángulo redondeado 51">
            <a:extLst>
              <a:ext uri="{FF2B5EF4-FFF2-40B4-BE49-F238E27FC236}">
                <a16:creationId xmlns:a16="http://schemas.microsoft.com/office/drawing/2014/main" id="{00000000-0008-0000-0900-000034000000}"/>
              </a:ext>
            </a:extLst>
          </xdr:cNvPr>
          <xdr:cNvSpPr/>
        </xdr:nvSpPr>
        <xdr:spPr>
          <a:xfrm>
            <a:off x="24747715" y="4020274"/>
            <a:ext cx="7581900" cy="4477954"/>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endParaRPr lang="es-DO" sz="14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5,214,285</a:t>
            </a:r>
          </a:p>
          <a:p>
            <a:pPr marL="0" marR="0" indent="0" algn="ctr" defTabSz="914400" eaLnBrk="1" fontAlgn="auto" latinLnBrk="0" hangingPunct="1">
              <a:lnSpc>
                <a:spcPct val="100000"/>
              </a:lnSpc>
              <a:spcBef>
                <a:spcPts val="0"/>
              </a:spcBef>
              <a:spcAft>
                <a:spcPts val="0"/>
              </a:spcAft>
              <a:buClrTx/>
              <a:buSzTx/>
              <a:buFontTx/>
              <a:buNone/>
              <a:tabLst/>
              <a:defRPr/>
            </a:pPr>
            <a:r>
              <a:rPr lang="es-DO" sz="6600" b="1">
                <a:solidFill>
                  <a:schemeClr val="bg1"/>
                </a:solidFill>
                <a:effectLst/>
                <a:latin typeface="+mn-lt"/>
                <a:ea typeface="+mn-ea"/>
                <a:cs typeface="+mn-cs"/>
              </a:rPr>
              <a:t>Afiliación SVDS</a:t>
            </a:r>
            <a:endParaRPr lang="es-DO" sz="6600">
              <a:solidFill>
                <a:schemeClr val="bg1"/>
              </a:solidFill>
              <a:effectLst/>
            </a:endParaRPr>
          </a:p>
          <a:p>
            <a:pPr algn="ctr"/>
            <a:endParaRPr lang="es-DO" sz="7200">
              <a:solidFill>
                <a:schemeClr val="bg1"/>
              </a:solidFill>
            </a:endParaRPr>
          </a:p>
        </xdr:txBody>
      </xdr:sp>
    </xdr:grpSp>
    <xdr:clientData/>
  </xdr:twoCellAnchor>
  <xdr:twoCellAnchor>
    <xdr:from>
      <xdr:col>29</xdr:col>
      <xdr:colOff>419100</xdr:colOff>
      <xdr:row>19</xdr:row>
      <xdr:rowOff>990600</xdr:rowOff>
    </xdr:from>
    <xdr:to>
      <xdr:col>49</xdr:col>
      <xdr:colOff>571500</xdr:colOff>
      <xdr:row>35</xdr:row>
      <xdr:rowOff>533400</xdr:rowOff>
    </xdr:to>
    <xdr:graphicFrame macro="">
      <xdr:nvGraphicFramePr>
        <xdr:cNvPr id="53" name="Gráfico 52">
          <a:extLst>
            <a:ext uri="{FF2B5EF4-FFF2-40B4-BE49-F238E27FC236}">
              <a16:creationId xmlns:a16="http://schemas.microsoft.com/office/drawing/2014/main" id="{00000000-0008-0000-09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17</xdr:col>
      <xdr:colOff>5105401</xdr:colOff>
      <xdr:row>10</xdr:row>
      <xdr:rowOff>1143001</xdr:rowOff>
    </xdr:from>
    <xdr:to>
      <xdr:col>17</xdr:col>
      <xdr:colOff>8648701</xdr:colOff>
      <xdr:row>16</xdr:row>
      <xdr:rowOff>1257301</xdr:rowOff>
    </xdr:to>
    <xdr:pic>
      <xdr:nvPicPr>
        <xdr:cNvPr id="61" name="Imagen 60">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3073301" y="13068301"/>
          <a:ext cx="3543300" cy="3543300"/>
        </a:xfrm>
        <a:prstGeom prst="rect">
          <a:avLst/>
        </a:prstGeom>
      </xdr:spPr>
    </xdr:pic>
    <xdr:clientData/>
  </xdr:twoCellAnchor>
  <xdr:twoCellAnchor>
    <xdr:from>
      <xdr:col>6</xdr:col>
      <xdr:colOff>838200</xdr:colOff>
      <xdr:row>47</xdr:row>
      <xdr:rowOff>432759</xdr:rowOff>
    </xdr:from>
    <xdr:to>
      <xdr:col>11</xdr:col>
      <xdr:colOff>932808</xdr:colOff>
      <xdr:row>61</xdr:row>
      <xdr:rowOff>2895600</xdr:rowOff>
    </xdr:to>
    <xdr:graphicFrame macro="">
      <xdr:nvGraphicFramePr>
        <xdr:cNvPr id="68" name="Gráfico 67">
          <a:extLst>
            <a:ext uri="{FF2B5EF4-FFF2-40B4-BE49-F238E27FC236}">
              <a16:creationId xmlns:a16="http://schemas.microsoft.com/office/drawing/2014/main" id="{00000000-0008-0000-09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571500</xdr:colOff>
      <xdr:row>80</xdr:row>
      <xdr:rowOff>647700</xdr:rowOff>
    </xdr:from>
    <xdr:to>
      <xdr:col>6</xdr:col>
      <xdr:colOff>876300</xdr:colOff>
      <xdr:row>93</xdr:row>
      <xdr:rowOff>4762500</xdr:rowOff>
    </xdr:to>
    <xdr:graphicFrame macro="">
      <xdr:nvGraphicFramePr>
        <xdr:cNvPr id="6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93</xdr:row>
      <xdr:rowOff>4800600</xdr:rowOff>
    </xdr:from>
    <xdr:to>
      <xdr:col>6</xdr:col>
      <xdr:colOff>1104900</xdr:colOff>
      <xdr:row>101</xdr:row>
      <xdr:rowOff>1524000</xdr:rowOff>
    </xdr:to>
    <xdr:graphicFrame macro="">
      <xdr:nvGraphicFramePr>
        <xdr:cNvPr id="70" name="2 Gráfico">
          <a:extLst>
            <a:ext uri="{FF2B5EF4-FFF2-40B4-BE49-F238E27FC236}">
              <a16:creationId xmlns:a16="http://schemas.microsoft.com/office/drawing/2014/main" id="{00000000-0008-0000-6200-000072C80300}"/>
            </a:ext>
            <a:ext uri="{147F2762-F138-4A5C-976F-8EAC2B608ADB}">
              <a16:predDERef xmlns:a16="http://schemas.microsoft.com/office/drawing/2014/main" pre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838200</xdr:colOff>
      <xdr:row>94</xdr:row>
      <xdr:rowOff>457200</xdr:rowOff>
    </xdr:from>
    <xdr:to>
      <xdr:col>11</xdr:col>
      <xdr:colOff>1485900</xdr:colOff>
      <xdr:row>101</xdr:row>
      <xdr:rowOff>1752600</xdr:rowOff>
    </xdr:to>
    <xdr:graphicFrame macro="">
      <xdr:nvGraphicFramePr>
        <xdr:cNvPr id="71"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228600</xdr:colOff>
      <xdr:row>16</xdr:row>
      <xdr:rowOff>1047750</xdr:rowOff>
    </xdr:from>
    <xdr:to>
      <xdr:col>13</xdr:col>
      <xdr:colOff>152400</xdr:colOff>
      <xdr:row>29</xdr:row>
      <xdr:rowOff>1905000</xdr:rowOff>
    </xdr:to>
    <xdr:sp macro="" textlink="">
      <xdr:nvSpPr>
        <xdr:cNvPr id="114692" name="Rectángulo redondeado 114691">
          <a:extLst>
            <a:ext uri="{FF2B5EF4-FFF2-40B4-BE49-F238E27FC236}">
              <a16:creationId xmlns:a16="http://schemas.microsoft.com/office/drawing/2014/main" id="{00000000-0008-0000-0900-000004C00100}"/>
            </a:ext>
          </a:extLst>
        </xdr:cNvPr>
        <xdr:cNvSpPr/>
      </xdr:nvSpPr>
      <xdr:spPr>
        <a:xfrm>
          <a:off x="45148500" y="14878050"/>
          <a:ext cx="1562100" cy="14725650"/>
        </a:xfrm>
        <a:prstGeom prst="roundRect">
          <a:avLst/>
        </a:prstGeom>
        <a:solidFill>
          <a:srgbClr val="0053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DO" sz="5400" b="1"/>
            <a:t>Seguro Familiar de Salud</a:t>
          </a:r>
        </a:p>
      </xdr:txBody>
    </xdr:sp>
    <xdr:clientData/>
  </xdr:twoCellAnchor>
  <xdr:twoCellAnchor>
    <xdr:from>
      <xdr:col>12</xdr:col>
      <xdr:colOff>342900</xdr:colOff>
      <xdr:row>93</xdr:row>
      <xdr:rowOff>495300</xdr:rowOff>
    </xdr:from>
    <xdr:to>
      <xdr:col>13</xdr:col>
      <xdr:colOff>0</xdr:colOff>
      <xdr:row>101</xdr:row>
      <xdr:rowOff>271462</xdr:rowOff>
    </xdr:to>
    <xdr:sp macro="" textlink="">
      <xdr:nvSpPr>
        <xdr:cNvPr id="76" name="Rectángulo redondeado 75">
          <a:extLst>
            <a:ext uri="{FF2B5EF4-FFF2-40B4-BE49-F238E27FC236}">
              <a16:creationId xmlns:a16="http://schemas.microsoft.com/office/drawing/2014/main" id="{00000000-0008-0000-0900-00004C000000}"/>
            </a:ext>
          </a:extLst>
        </xdr:cNvPr>
        <xdr:cNvSpPr/>
      </xdr:nvSpPr>
      <xdr:spPr>
        <a:xfrm>
          <a:off x="45262800" y="90982800"/>
          <a:ext cx="1295400" cy="15016162"/>
        </a:xfrm>
        <a:prstGeom prst="roundRect">
          <a:avLst/>
        </a:prstGeom>
        <a:solidFill>
          <a:srgbClr val="0053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DO" sz="5400" b="1"/>
            <a:t>Seguro Riesgos Laborales</a:t>
          </a:r>
        </a:p>
      </xdr:txBody>
    </xdr:sp>
    <xdr:clientData/>
  </xdr:twoCellAnchor>
  <xdr:twoCellAnchor>
    <xdr:from>
      <xdr:col>11</xdr:col>
      <xdr:colOff>2438400</xdr:colOff>
      <xdr:row>46</xdr:row>
      <xdr:rowOff>476250</xdr:rowOff>
    </xdr:from>
    <xdr:to>
      <xdr:col>12</xdr:col>
      <xdr:colOff>1562100</xdr:colOff>
      <xdr:row>63</xdr:row>
      <xdr:rowOff>0</xdr:rowOff>
    </xdr:to>
    <xdr:sp macro="" textlink="">
      <xdr:nvSpPr>
        <xdr:cNvPr id="77" name="Rectángulo redondeado 76">
          <a:extLst>
            <a:ext uri="{FF2B5EF4-FFF2-40B4-BE49-F238E27FC236}">
              <a16:creationId xmlns:a16="http://schemas.microsoft.com/office/drawing/2014/main" id="{00000000-0008-0000-0900-00004D000000}"/>
            </a:ext>
          </a:extLst>
        </xdr:cNvPr>
        <xdr:cNvSpPr/>
      </xdr:nvSpPr>
      <xdr:spPr>
        <a:xfrm>
          <a:off x="44843700" y="51034950"/>
          <a:ext cx="1638300" cy="14839950"/>
        </a:xfrm>
        <a:prstGeom prst="roundRect">
          <a:avLst/>
        </a:prstGeom>
        <a:solidFill>
          <a:srgbClr val="0053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DO" sz="5400" b="1"/>
            <a:t>Seguro de Vejez, Discapacidad y</a:t>
          </a:r>
          <a:r>
            <a:rPr lang="es-DO" sz="5400" b="1" baseline="0"/>
            <a:t> Sobrevivencia</a:t>
          </a:r>
          <a:endParaRPr lang="es-DO" sz="5400" b="1"/>
        </a:p>
      </xdr:txBody>
    </xdr:sp>
    <xdr:clientData/>
  </xdr:twoCellAnchor>
  <xdr:twoCellAnchor>
    <xdr:from>
      <xdr:col>6</xdr:col>
      <xdr:colOff>152400</xdr:colOff>
      <xdr:row>61</xdr:row>
      <xdr:rowOff>1714500</xdr:rowOff>
    </xdr:from>
    <xdr:to>
      <xdr:col>12</xdr:col>
      <xdr:colOff>1524000</xdr:colOff>
      <xdr:row>79</xdr:row>
      <xdr:rowOff>0</xdr:rowOff>
    </xdr:to>
    <xdr:graphicFrame macro="">
      <xdr:nvGraphicFramePr>
        <xdr:cNvPr id="79" name="Gráfico 78">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61</xdr:row>
      <xdr:rowOff>3086100</xdr:rowOff>
    </xdr:from>
    <xdr:to>
      <xdr:col>6</xdr:col>
      <xdr:colOff>800100</xdr:colOff>
      <xdr:row>78</xdr:row>
      <xdr:rowOff>495300</xdr:rowOff>
    </xdr:to>
    <xdr:graphicFrame macro="">
      <xdr:nvGraphicFramePr>
        <xdr:cNvPr id="80"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17</xdr:col>
      <xdr:colOff>190500</xdr:colOff>
      <xdr:row>66</xdr:row>
      <xdr:rowOff>38100</xdr:rowOff>
    </xdr:from>
    <xdr:to>
      <xdr:col>17</xdr:col>
      <xdr:colOff>5066690</xdr:colOff>
      <xdr:row>71</xdr:row>
      <xdr:rowOff>2056790</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8158400" y="51663600"/>
          <a:ext cx="4876190" cy="4876190"/>
        </a:xfrm>
        <a:prstGeom prst="rect">
          <a:avLst/>
        </a:prstGeom>
      </xdr:spPr>
    </xdr:pic>
    <xdr:clientData/>
  </xdr:twoCellAnchor>
  <xdr:twoCellAnchor>
    <xdr:from>
      <xdr:col>6</xdr:col>
      <xdr:colOff>342900</xdr:colOff>
      <xdr:row>20</xdr:row>
      <xdr:rowOff>1752600</xdr:rowOff>
    </xdr:from>
    <xdr:to>
      <xdr:col>12</xdr:col>
      <xdr:colOff>1562100</xdr:colOff>
      <xdr:row>38</xdr:row>
      <xdr:rowOff>571500</xdr:rowOff>
    </xdr:to>
    <xdr:graphicFrame macro="">
      <xdr:nvGraphicFramePr>
        <xdr:cNvPr id="54" name="Gráfico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228600</xdr:colOff>
      <xdr:row>39</xdr:row>
      <xdr:rowOff>571500</xdr:rowOff>
    </xdr:from>
    <xdr:to>
      <xdr:col>6</xdr:col>
      <xdr:colOff>1905000</xdr:colOff>
      <xdr:row>49</xdr:row>
      <xdr:rowOff>190500</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2247900</xdr:colOff>
      <xdr:row>39</xdr:row>
      <xdr:rowOff>533400</xdr:rowOff>
    </xdr:from>
    <xdr:to>
      <xdr:col>12</xdr:col>
      <xdr:colOff>228600</xdr:colOff>
      <xdr:row>46</xdr:row>
      <xdr:rowOff>419100</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1447800</xdr:colOff>
      <xdr:row>80</xdr:row>
      <xdr:rowOff>609600</xdr:rowOff>
    </xdr:from>
    <xdr:to>
      <xdr:col>12</xdr:col>
      <xdr:colOff>876300</xdr:colOff>
      <xdr:row>93</xdr:row>
      <xdr:rowOff>4914900</xdr:rowOff>
    </xdr:to>
    <xdr:graphicFrame macro="">
      <xdr:nvGraphicFramePr>
        <xdr:cNvPr id="64"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34</xdr:col>
      <xdr:colOff>0</xdr:colOff>
      <xdr:row>8</xdr:row>
      <xdr:rowOff>0</xdr:rowOff>
    </xdr:from>
    <xdr:to>
      <xdr:col>65</xdr:col>
      <xdr:colOff>723900</xdr:colOff>
      <xdr:row>18</xdr:row>
      <xdr:rowOff>1074477</xdr:rowOff>
    </xdr:to>
    <xdr:pic>
      <xdr:nvPicPr>
        <xdr:cNvPr id="65" name="chart">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2"/>
        <a:stretch>
          <a:fillRect/>
        </a:stretch>
      </xdr:blipFill>
      <xdr:spPr>
        <a:xfrm>
          <a:off x="94107000" y="8991600"/>
          <a:ext cx="24345900" cy="9265977"/>
        </a:xfrm>
        <a:prstGeom prst="rect">
          <a:avLst/>
        </a:prstGeom>
      </xdr:spPr>
    </xdr:pic>
    <xdr:clientData/>
  </xdr:twoCellAnchor>
  <xdr:twoCellAnchor>
    <xdr:from>
      <xdr:col>41</xdr:col>
      <xdr:colOff>133348</xdr:colOff>
      <xdr:row>50</xdr:row>
      <xdr:rowOff>381000</xdr:rowOff>
    </xdr:from>
    <xdr:to>
      <xdr:col>60</xdr:col>
      <xdr:colOff>647700</xdr:colOff>
      <xdr:row>61</xdr:row>
      <xdr:rowOff>2400300</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2133600</xdr:colOff>
      <xdr:row>33</xdr:row>
      <xdr:rowOff>495300</xdr:rowOff>
    </xdr:from>
    <xdr:to>
      <xdr:col>24</xdr:col>
      <xdr:colOff>1167166</xdr:colOff>
      <xdr:row>39</xdr:row>
      <xdr:rowOff>1257300</xdr:rowOff>
    </xdr:to>
    <xdr:pic>
      <xdr:nvPicPr>
        <xdr:cNvPr id="66" name="Imagen 65"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24">
          <a:duotone>
            <a:prstClr val="black"/>
            <a:srgbClr val="92D050">
              <a:tint val="45000"/>
              <a:satMod val="400000"/>
            </a:srgbClr>
          </a:duotone>
          <a:extLst>
            <a:ext uri="{BEBA8EAE-BF5A-486C-A8C5-ECC9F3942E4B}">
              <a14:imgProps xmlns:a14="http://schemas.microsoft.com/office/drawing/2010/main">
                <a14:imgLayer r:embed="rId25">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84048600" y="30289500"/>
          <a:ext cx="2043466" cy="4381500"/>
        </a:xfrm>
        <a:prstGeom prst="rect">
          <a:avLst/>
        </a:prstGeom>
      </xdr:spPr>
    </xdr:pic>
    <xdr:clientData/>
  </xdr:twoCellAnchor>
  <xdr:twoCellAnchor editAs="oneCell">
    <xdr:from>
      <xdr:col>22</xdr:col>
      <xdr:colOff>2847894</xdr:colOff>
      <xdr:row>33</xdr:row>
      <xdr:rowOff>483283</xdr:rowOff>
    </xdr:from>
    <xdr:to>
      <xdr:col>23</xdr:col>
      <xdr:colOff>1981200</xdr:colOff>
      <xdr:row>39</xdr:row>
      <xdr:rowOff>1104901</xdr:rowOff>
    </xdr:to>
    <xdr:pic>
      <xdr:nvPicPr>
        <xdr:cNvPr id="73" name="Imagen 72"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26">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81752994" y="30277483"/>
          <a:ext cx="2143206" cy="4241118"/>
        </a:xfrm>
        <a:prstGeom prst="rect">
          <a:avLst/>
        </a:prstGeom>
      </xdr:spPr>
    </xdr:pic>
    <xdr:clientData/>
  </xdr:twoCellAnchor>
  <xdr:twoCellAnchor editAs="oneCell">
    <xdr:from>
      <xdr:col>17</xdr:col>
      <xdr:colOff>9486900</xdr:colOff>
      <xdr:row>61</xdr:row>
      <xdr:rowOff>1485900</xdr:rowOff>
    </xdr:from>
    <xdr:to>
      <xdr:col>18</xdr:col>
      <xdr:colOff>3504590</xdr:colOff>
      <xdr:row>67</xdr:row>
      <xdr:rowOff>75590</xdr:rowOff>
    </xdr:to>
    <xdr:pic>
      <xdr:nvPicPr>
        <xdr:cNvPr id="13" name="Imagen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454800" y="49034700"/>
          <a:ext cx="4876190" cy="4876190"/>
        </a:xfrm>
        <a:prstGeom prst="rect">
          <a:avLst/>
        </a:prstGeom>
      </xdr:spPr>
    </xdr:pic>
    <xdr:clientData/>
  </xdr:twoCellAnchor>
  <xdr:twoCellAnchor editAs="oneCell">
    <xdr:from>
      <xdr:col>18</xdr:col>
      <xdr:colOff>2740800</xdr:colOff>
      <xdr:row>61</xdr:row>
      <xdr:rowOff>1559700</xdr:rowOff>
    </xdr:from>
    <xdr:to>
      <xdr:col>19</xdr:col>
      <xdr:colOff>2337441</xdr:colOff>
      <xdr:row>66</xdr:row>
      <xdr:rowOff>546741</xdr:rowOff>
    </xdr:to>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1567200" y="49108500"/>
          <a:ext cx="4702041" cy="4702041"/>
        </a:xfrm>
        <a:prstGeom prst="rect">
          <a:avLst/>
        </a:prstGeom>
        <a:noFill/>
        <a:ln>
          <a:noFill/>
        </a:ln>
      </xdr:spPr>
    </xdr:pic>
    <xdr:clientData/>
  </xdr:twoCellAnchor>
  <xdr:twoCellAnchor editAs="oneCell">
    <xdr:from>
      <xdr:col>28</xdr:col>
      <xdr:colOff>38100</xdr:colOff>
      <xdr:row>37</xdr:row>
      <xdr:rowOff>152399</xdr:rowOff>
    </xdr:from>
    <xdr:to>
      <xdr:col>51</xdr:col>
      <xdr:colOff>114300</xdr:colOff>
      <xdr:row>48</xdr:row>
      <xdr:rowOff>526160</xdr:rowOff>
    </xdr:to>
    <xdr:pic>
      <xdr:nvPicPr>
        <xdr:cNvPr id="75" name="Imagen 74" descr="Gráfica del día: Hombres y mujeres que se consideran feministas en México">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0982800" y="32384999"/>
          <a:ext cx="17602200" cy="13289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228600</xdr:colOff>
      <xdr:row>19</xdr:row>
      <xdr:rowOff>1257300</xdr:rowOff>
    </xdr:from>
    <xdr:to>
      <xdr:col>21</xdr:col>
      <xdr:colOff>752475</xdr:colOff>
      <xdr:row>26</xdr:row>
      <xdr:rowOff>228600</xdr:rowOff>
    </xdr:to>
    <xdr:pic>
      <xdr:nvPicPr>
        <xdr:cNvPr id="78" name="Imagen 77" descr="El estado de los derechos de la mujer en el mundo en 8 gráficos">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5570100" y="18021300"/>
          <a:ext cx="11420475"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2286000</xdr:colOff>
      <xdr:row>15</xdr:row>
      <xdr:rowOff>266700</xdr:rowOff>
    </xdr:from>
    <xdr:to>
      <xdr:col>10</xdr:col>
      <xdr:colOff>1257300</xdr:colOff>
      <xdr:row>15</xdr:row>
      <xdr:rowOff>266700</xdr:rowOff>
    </xdr:to>
    <xdr:cxnSp macro="">
      <xdr:nvCxnSpPr>
        <xdr:cNvPr id="18" name="Conector recto de flecha 17">
          <a:extLst>
            <a:ext uri="{FF2B5EF4-FFF2-40B4-BE49-F238E27FC236}">
              <a16:creationId xmlns:a16="http://schemas.microsoft.com/office/drawing/2014/main" id="{00000000-0008-0000-0500-000012000000}"/>
            </a:ext>
          </a:extLst>
        </xdr:cNvPr>
        <xdr:cNvCxnSpPr/>
      </xdr:nvCxnSpPr>
      <xdr:spPr>
        <a:xfrm>
          <a:off x="35775900" y="13754100"/>
          <a:ext cx="5067300" cy="0"/>
        </a:xfrm>
        <a:prstGeom prst="straightConnector1">
          <a:avLst/>
        </a:prstGeom>
        <a:ln w="158750">
          <a:solidFill>
            <a:schemeClr val="accent3">
              <a:lumMod val="7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18</xdr:row>
      <xdr:rowOff>876300</xdr:rowOff>
    </xdr:from>
    <xdr:to>
      <xdr:col>10</xdr:col>
      <xdr:colOff>1638300</xdr:colOff>
      <xdr:row>18</xdr:row>
      <xdr:rowOff>914400</xdr:rowOff>
    </xdr:to>
    <xdr:cxnSp macro="">
      <xdr:nvCxnSpPr>
        <xdr:cNvPr id="81" name="Conector recto de flecha 80">
          <a:extLst>
            <a:ext uri="{FF2B5EF4-FFF2-40B4-BE49-F238E27FC236}">
              <a16:creationId xmlns:a16="http://schemas.microsoft.com/office/drawing/2014/main" id="{00000000-0008-0000-0500-000051000000}"/>
            </a:ext>
          </a:extLst>
        </xdr:cNvPr>
        <xdr:cNvCxnSpPr/>
      </xdr:nvCxnSpPr>
      <xdr:spPr>
        <a:xfrm flipH="1" flipV="1">
          <a:off x="36042600" y="18059400"/>
          <a:ext cx="5181600" cy="38100"/>
        </a:xfrm>
        <a:prstGeom prst="straightConnector1">
          <a:avLst/>
        </a:prstGeom>
        <a:ln w="158750">
          <a:solidFill>
            <a:schemeClr val="tx2">
              <a:lumMod val="60000"/>
              <a:lumOff val="40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0</xdr:colOff>
      <xdr:row>82</xdr:row>
      <xdr:rowOff>0</xdr:rowOff>
    </xdr:from>
    <xdr:to>
      <xdr:col>17</xdr:col>
      <xdr:colOff>304800</xdr:colOff>
      <xdr:row>82</xdr:row>
      <xdr:rowOff>304800</xdr:rowOff>
    </xdr:to>
    <xdr:sp macro="" textlink="">
      <xdr:nvSpPr>
        <xdr:cNvPr id="4097" name="AutoShape 1" descr="Gráfico">
          <a:extLst>
            <a:ext uri="{FF2B5EF4-FFF2-40B4-BE49-F238E27FC236}">
              <a16:creationId xmlns:a16="http://schemas.microsoft.com/office/drawing/2014/main" id="{00000000-0008-0000-0500-000001100000}"/>
            </a:ext>
          </a:extLst>
        </xdr:cNvPr>
        <xdr:cNvSpPr>
          <a:spLocks noChangeAspect="1" noChangeArrowheads="1"/>
        </xdr:cNvSpPr>
      </xdr:nvSpPr>
      <xdr:spPr bwMode="auto">
        <a:xfrm>
          <a:off x="49329975" y="7171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1257300</xdr:colOff>
      <xdr:row>50</xdr:row>
      <xdr:rowOff>304800</xdr:rowOff>
    </xdr:from>
    <xdr:to>
      <xdr:col>40</xdr:col>
      <xdr:colOff>609600</xdr:colOff>
      <xdr:row>71</xdr:row>
      <xdr:rowOff>1928086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1"/>
        <a:stretch>
          <a:fillRect/>
        </a:stretch>
      </xdr:blipFill>
      <xdr:spPr>
        <a:xfrm>
          <a:off x="83172300" y="46672500"/>
          <a:ext cx="17526000" cy="19149286"/>
        </a:xfrm>
        <a:prstGeom prst="rect">
          <a:avLst/>
        </a:prstGeom>
      </xdr:spPr>
    </xdr:pic>
    <xdr:clientData/>
  </xdr:twoCellAnchor>
  <xdr:twoCellAnchor editAs="oneCell">
    <xdr:from>
      <xdr:col>7</xdr:col>
      <xdr:colOff>2938932</xdr:colOff>
      <xdr:row>10</xdr:row>
      <xdr:rowOff>825293</xdr:rowOff>
    </xdr:from>
    <xdr:to>
      <xdr:col>8</xdr:col>
      <xdr:colOff>2002785</xdr:colOff>
      <xdr:row>16</xdr:row>
      <xdr:rowOff>2438400</xdr:rowOff>
    </xdr:to>
    <xdr:pic>
      <xdr:nvPicPr>
        <xdr:cNvPr id="67" name="chart">
          <a:extLst>
            <a:ext uri="{FF2B5EF4-FFF2-40B4-BE49-F238E27FC236}">
              <a16:creationId xmlns:a16="http://schemas.microsoft.com/office/drawing/2014/main" id="{00000000-0008-0000-0500-000043000000}"/>
            </a:ext>
          </a:extLst>
        </xdr:cNvPr>
        <xdr:cNvPicPr>
          <a:picLocks noChangeAspect="1"/>
        </xdr:cNvPicPr>
      </xdr:nvPicPr>
      <xdr:blipFill rotWithShape="1">
        <a:blip xmlns:r="http://schemas.openxmlformats.org/officeDocument/2006/relationships" r:embed="rId32"/>
        <a:srcRect r="48333" b="2916"/>
        <a:stretch/>
      </xdr:blipFill>
      <xdr:spPr>
        <a:xfrm>
          <a:off x="32809332" y="11417093"/>
          <a:ext cx="2683353" cy="5042107"/>
        </a:xfrm>
        <a:prstGeom prst="rect">
          <a:avLst/>
        </a:prstGeom>
        <a:solidFill>
          <a:srgbClr val="00A94F"/>
        </a:solidFill>
      </xdr:spPr>
    </xdr:pic>
    <xdr:clientData/>
  </xdr:twoCellAnchor>
  <xdr:twoCellAnchor editAs="oneCell">
    <xdr:from>
      <xdr:col>10</xdr:col>
      <xdr:colOff>1676401</xdr:colOff>
      <xdr:row>16</xdr:row>
      <xdr:rowOff>1936326</xdr:rowOff>
    </xdr:from>
    <xdr:to>
      <xdr:col>11</xdr:col>
      <xdr:colOff>952500</xdr:colOff>
      <xdr:row>19</xdr:row>
      <xdr:rowOff>1409699</xdr:rowOff>
    </xdr:to>
    <xdr:pic>
      <xdr:nvPicPr>
        <xdr:cNvPr id="74" name="Imagen 73" descr="Male Female Vector Art, Icons, and Graphics for Free Download">
          <a:extLst>
            <a:ext uri="{FF2B5EF4-FFF2-40B4-BE49-F238E27FC236}">
              <a16:creationId xmlns:a16="http://schemas.microsoft.com/office/drawing/2014/main" id="{00000000-0008-0000-0500-00004A000000}"/>
            </a:ext>
          </a:extLst>
        </xdr:cNvPr>
        <xdr:cNvPicPr>
          <a:picLocks noChangeAspect="1"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l="-3312" t="-1985" r="66046" b="-1241"/>
        <a:stretch/>
      </xdr:blipFill>
      <xdr:spPr bwMode="auto">
        <a:xfrm>
          <a:off x="41262301" y="15766626"/>
          <a:ext cx="2095499" cy="4578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23811</xdr:colOff>
      <xdr:row>4</xdr:row>
      <xdr:rowOff>-1</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3</xdr:row>
      <xdr:rowOff>47624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809624</xdr:colOff>
      <xdr:row>5</xdr:row>
      <xdr:rowOff>428623</xdr:rowOff>
    </xdr:from>
    <xdr:to>
      <xdr:col>46</xdr:col>
      <xdr:colOff>727040</xdr:colOff>
      <xdr:row>23</xdr:row>
      <xdr:rowOff>285749</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3"/>
        <a:stretch>
          <a:fillRect/>
        </a:stretch>
      </xdr:blipFill>
      <xdr:spPr>
        <a:xfrm>
          <a:off x="43838812" y="2833686"/>
          <a:ext cx="18538791" cy="869156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89646</xdr:colOff>
      <xdr:row>22</xdr:row>
      <xdr:rowOff>201704</xdr:rowOff>
    </xdr:from>
    <xdr:to>
      <xdr:col>12</xdr:col>
      <xdr:colOff>695324</xdr:colOff>
      <xdr:row>52</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25</xdr:row>
      <xdr:rowOff>0</xdr:rowOff>
    </xdr:from>
    <xdr:to>
      <xdr:col>6</xdr:col>
      <xdr:colOff>625928</xdr:colOff>
      <xdr:row>51</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0.00601</cdr:x>
      <cdr:y>0.88446</cdr:y>
    </cdr:from>
    <cdr:to>
      <cdr:x>0.9526</cdr:x>
      <cdr:y>1</cdr:y>
    </cdr:to>
    <cdr:sp macro="" textlink="">
      <cdr:nvSpPr>
        <cdr:cNvPr id="2" name="CuadroTexto 1"/>
        <cdr:cNvSpPr txBox="1"/>
      </cdr:nvSpPr>
      <cdr:spPr>
        <a:xfrm xmlns:a="http://schemas.openxmlformats.org/drawingml/2006/main">
          <a:off x="119995" y="8458201"/>
          <a:ext cx="18898101" cy="11048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SISALRIL/CNSS</a:t>
          </a:r>
        </a:p>
        <a:p xmlns:a="http://schemas.openxmlformats.org/drawingml/2006/main">
          <a:r>
            <a:rPr lang="en-US" sz="3200" b="1">
              <a:latin typeface="Arial" panose="020B0604020202020204" pitchFamily="34" charset="0"/>
              <a:cs typeface="Arial" panose="020B0604020202020204" pitchFamily="34" charset="0"/>
            </a:rPr>
            <a:t>Indice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247650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45300" cy="18669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1</xdr:row>
      <xdr:rowOff>394979</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114.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883227</xdr:colOff>
      <xdr:row>65</xdr:row>
      <xdr:rowOff>34635</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6.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0.11888</cdr:x>
      <cdr:y>0.91588</cdr:y>
    </cdr:from>
    <cdr:to>
      <cdr:x>0.40944</cdr:x>
      <cdr:y>0.95773</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879600" y="11061700"/>
          <a:ext cx="4594187" cy="5054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121.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122.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123.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124.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127.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13.xml><?xml version="1.0" encoding="utf-8"?>
<c:userShapes xmlns:c="http://schemas.openxmlformats.org/drawingml/2006/chart">
  <cdr:relSizeAnchor xmlns:cdr="http://schemas.openxmlformats.org/drawingml/2006/chartDrawing">
    <cdr:from>
      <cdr:x>0.03779</cdr:x>
      <cdr:y>0.90226</cdr:y>
    </cdr:from>
    <cdr:to>
      <cdr:x>0.45886</cdr:x>
      <cdr:y>0.96454</cdr:y>
    </cdr:to>
    <cdr:sp macro="" textlink="">
      <cdr:nvSpPr>
        <cdr:cNvPr id="2" name="CuadroTexto 1"/>
        <cdr:cNvSpPr txBox="1"/>
      </cdr:nvSpPr>
      <cdr:spPr>
        <a:xfrm xmlns:a="http://schemas.openxmlformats.org/drawingml/2006/main">
          <a:off x="767413" y="9694051"/>
          <a:ext cx="8550795" cy="669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80343</xdr:colOff>
      <xdr:row>2</xdr:row>
      <xdr:rowOff>104775</xdr:rowOff>
    </xdr:from>
    <xdr:to>
      <xdr:col>15</xdr:col>
      <xdr:colOff>110531</xdr:colOff>
      <xdr:row>8</xdr:row>
      <xdr:rowOff>197003</xdr:rowOff>
    </xdr:to>
    <xdr:pic>
      <xdr:nvPicPr>
        <xdr:cNvPr id="4" name="Imagen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3"/>
        <a:stretch>
          <a:fillRect/>
        </a:stretch>
      </xdr:blipFill>
      <xdr:spPr>
        <a:xfrm>
          <a:off x="11491293" y="466725"/>
          <a:ext cx="2535263" cy="148287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62779</xdr:colOff>
      <xdr:row>23</xdr:row>
      <xdr:rowOff>34636</xdr:rowOff>
    </xdr:from>
    <xdr:to>
      <xdr:col>8</xdr:col>
      <xdr:colOff>2996045</xdr:colOff>
      <xdr:row>78</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302773</xdr:colOff>
      <xdr:row>3</xdr:row>
      <xdr:rowOff>261938</xdr:rowOff>
    </xdr:from>
    <xdr:to>
      <xdr:col>34</xdr:col>
      <xdr:colOff>183354</xdr:colOff>
      <xdr:row>30</xdr:row>
      <xdr:rowOff>404814</xdr:rowOff>
    </xdr:to>
    <xdr:pic>
      <xdr:nvPicPr>
        <xdr:cNvPr id="2" name="Imagen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4"/>
        <a:stretch>
          <a:fillRect/>
        </a:stretch>
      </xdr:blipFill>
      <xdr:spPr>
        <a:xfrm>
          <a:off x="23853336" y="1905001"/>
          <a:ext cx="15477768" cy="9024938"/>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0.06584</cdr:x>
      <cdr:y>0.93688</cdr:y>
    </cdr:from>
    <cdr:to>
      <cdr:x>0.44128</cdr:x>
      <cdr:y>1</cdr:y>
    </cdr:to>
    <cdr:sp macro="" textlink="">
      <cdr:nvSpPr>
        <cdr:cNvPr id="2" name="CuadroTexto 1"/>
        <cdr:cNvSpPr txBox="1"/>
      </cdr:nvSpPr>
      <cdr:spPr>
        <a:xfrm xmlns:a="http://schemas.openxmlformats.org/drawingml/2006/main">
          <a:off x="1409700" y="11279660"/>
          <a:ext cx="8038996" cy="759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1</xdr:colOff>
      <xdr:row>19</xdr:row>
      <xdr:rowOff>155864</xdr:rowOff>
    </xdr:from>
    <xdr:to>
      <xdr:col>10</xdr:col>
      <xdr:colOff>2078183</xdr:colOff>
      <xdr:row>71</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43.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58831</xdr:rowOff>
    </xdr:from>
    <xdr:to>
      <xdr:col>6</xdr:col>
      <xdr:colOff>1154206</xdr:colOff>
      <xdr:row>37</xdr:row>
      <xdr:rowOff>34178</xdr:rowOff>
    </xdr:to>
    <xdr:graphicFrame macro="">
      <xdr:nvGraphicFramePr>
        <xdr:cNvPr id="3" name="Gráfico 2">
          <a:extLst>
            <a:ext uri="{FF2B5EF4-FFF2-40B4-BE49-F238E27FC236}">
              <a16:creationId xmlns:a16="http://schemas.microsoft.com/office/drawing/2014/main" id="{00000000-0008-0000-42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245688</xdr:colOff>
      <xdr:row>10</xdr:row>
      <xdr:rowOff>149598</xdr:rowOff>
    </xdr:from>
    <xdr:to>
      <xdr:col>9</xdr:col>
      <xdr:colOff>493059</xdr:colOff>
      <xdr:row>43</xdr:row>
      <xdr:rowOff>123265</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a:t>Fuente:</a:t>
          </a:r>
          <a:r>
            <a:rPr lang="es-DO" sz="1400" baseline="0"/>
            <a:t> TSS</a:t>
          </a:r>
          <a:endParaRPr lang="es-DO" sz="1400"/>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190501</xdr:colOff>
      <xdr:row>31</xdr:row>
      <xdr:rowOff>1</xdr:rowOff>
    </xdr:from>
    <xdr:to>
      <xdr:col>7</xdr:col>
      <xdr:colOff>231322</xdr:colOff>
      <xdr:row>71</xdr:row>
      <xdr:rowOff>166687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0.16752</cdr:x>
      <cdr:y>0.90765</cdr:y>
    </cdr:from>
    <cdr:to>
      <cdr:x>0.42678</cdr:x>
      <cdr:y>0.96554</cdr:y>
    </cdr:to>
    <cdr:sp macro="" textlink="">
      <cdr:nvSpPr>
        <cdr:cNvPr id="2" name="CuadroTexto 1"/>
        <cdr:cNvSpPr txBox="1"/>
      </cdr:nvSpPr>
      <cdr:spPr>
        <a:xfrm xmlns:a="http://schemas.openxmlformats.org/drawingml/2006/main">
          <a:off x="2644711" y="8191499"/>
          <a:ext cx="4093104" cy="52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a:t>Fuente:</a:t>
          </a:r>
          <a:r>
            <a:rPr lang="es-DO" sz="2400" baseline="0"/>
            <a:t> TSS</a:t>
          </a:r>
          <a:endParaRPr lang="es-DO" sz="2400"/>
        </a:p>
      </cdr:txBody>
    </cdr:sp>
  </cdr:relSizeAnchor>
</c:userShapes>
</file>

<file path=xl/drawings/drawing15.xml><?xml version="1.0" encoding="utf-8"?>
<c:userShapes xmlns:c="http://schemas.openxmlformats.org/drawingml/2006/chart">
  <cdr:relSizeAnchor xmlns:cdr="http://schemas.openxmlformats.org/drawingml/2006/chartDrawing">
    <cdr:from>
      <cdr:x>0.02194</cdr:x>
      <cdr:y>0.89346</cdr:y>
    </cdr:from>
    <cdr:to>
      <cdr:x>0.43706</cdr:x>
      <cdr:y>0.95618</cdr:y>
    </cdr:to>
    <cdr:sp macro="" textlink="">
      <cdr:nvSpPr>
        <cdr:cNvPr id="2" name="CuadroTexto 1"/>
        <cdr:cNvSpPr txBox="1"/>
      </cdr:nvSpPr>
      <cdr:spPr>
        <a:xfrm xmlns:a="http://schemas.openxmlformats.org/drawingml/2006/main">
          <a:off x="548360" y="8544202"/>
          <a:ext cx="10375343" cy="5997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152400</xdr:rowOff>
    </xdr:from>
    <xdr:to>
      <xdr:col>10</xdr:col>
      <xdr:colOff>1021772</xdr:colOff>
      <xdr:row>65</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27215</xdr:colOff>
      <xdr:row>16</xdr:row>
      <xdr:rowOff>163286</xdr:rowOff>
    </xdr:from>
    <xdr:to>
      <xdr:col>9</xdr:col>
      <xdr:colOff>1510393</xdr:colOff>
      <xdr:row>44</xdr:row>
      <xdr:rowOff>108858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136383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51955</xdr:colOff>
      <xdr:row>17</xdr:row>
      <xdr:rowOff>173181</xdr:rowOff>
    </xdr:from>
    <xdr:to>
      <xdr:col>8</xdr:col>
      <xdr:colOff>1718829</xdr:colOff>
      <xdr:row>62</xdr:row>
      <xdr:rowOff>93084</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40823</xdr:colOff>
      <xdr:row>14</xdr:row>
      <xdr:rowOff>176894</xdr:rowOff>
    </xdr:from>
    <xdr:to>
      <xdr:col>7</xdr:col>
      <xdr:colOff>1483177</xdr:colOff>
      <xdr:row>49</xdr:row>
      <xdr:rowOff>40822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6.xml><?xml version="1.0" encoding="utf-8"?>
<c:userShapes xmlns:c="http://schemas.openxmlformats.org/drawingml/2006/chart">
  <cdr:relSizeAnchor xmlns:cdr="http://schemas.openxmlformats.org/drawingml/2006/chartDrawing">
    <cdr:from>
      <cdr:x>0.00847</cdr:x>
      <cdr:y>0.84787</cdr:y>
    </cdr:from>
    <cdr:to>
      <cdr:x>0.34813</cdr:x>
      <cdr:y>0.88908</cdr:y>
    </cdr:to>
    <cdr:sp macro="" textlink="">
      <cdr:nvSpPr>
        <cdr:cNvPr id="2"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21954" y="11306386"/>
          <a:ext cx="4891715" cy="5495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160.xml><?xml version="1.0" encoding="utf-8"?>
<xdr:wsDr xmlns:xdr="http://schemas.openxmlformats.org/drawingml/2006/spreadsheetDrawing" xmlns:a="http://schemas.openxmlformats.org/drawingml/2006/main">
  <xdr:twoCellAnchor>
    <xdr:from>
      <xdr:col>0</xdr:col>
      <xdr:colOff>0</xdr:colOff>
      <xdr:row>23</xdr:row>
      <xdr:rowOff>134711</xdr:rowOff>
    </xdr:from>
    <xdr:to>
      <xdr:col>7</xdr:col>
      <xdr:colOff>81643</xdr:colOff>
      <xdr:row>68</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2.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63.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0.02808</cdr:x>
      <cdr:y>0.93606</cdr:y>
    </cdr:from>
    <cdr:to>
      <cdr:x>0.34624</cdr:x>
      <cdr:y>0.97792</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432277" y="11305427"/>
          <a:ext cx="4897245" cy="505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40820</xdr:colOff>
      <xdr:row>26</xdr:row>
      <xdr:rowOff>149679</xdr:rowOff>
    </xdr:from>
    <xdr:to>
      <xdr:col>10</xdr:col>
      <xdr:colOff>666749</xdr:colOff>
      <xdr:row>62</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0.04959</cdr:x>
      <cdr:y>0.9303</cdr:y>
    </cdr:from>
    <cdr:to>
      <cdr:x>0.48537</cdr:x>
      <cdr:y>0.99373</cdr:y>
    </cdr:to>
    <cdr:sp macro="" textlink="">
      <cdr:nvSpPr>
        <cdr:cNvPr id="2" name="CuadroTexto 1"/>
        <cdr:cNvSpPr txBox="1"/>
      </cdr:nvSpPr>
      <cdr:spPr>
        <a:xfrm xmlns:a="http://schemas.openxmlformats.org/drawingml/2006/main">
          <a:off x="1027725" y="11306778"/>
          <a:ext cx="9032150" cy="770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581025</xdr:colOff>
      <xdr:row>3</xdr:row>
      <xdr:rowOff>0</xdr:rowOff>
    </xdr:from>
    <xdr:to>
      <xdr:col>18</xdr:col>
      <xdr:colOff>581025</xdr:colOff>
      <xdr:row>21</xdr:row>
      <xdr:rowOff>114300</xdr:rowOff>
    </xdr:to>
    <xdr:pic>
      <xdr:nvPicPr>
        <xdr:cNvPr id="3" name="Imagen 2">
          <a:extLst>
            <a:ext uri="{FF2B5EF4-FFF2-40B4-BE49-F238E27FC236}">
              <a16:creationId xmlns:a16="http://schemas.microsoft.com/office/drawing/2014/main" id="{B746ECAC-D90C-529C-F6B2-E4EF5C4BE81B}"/>
            </a:ext>
            <a:ext uri="{147F2762-F138-4A5C-976F-8EAC2B608ADB}">
              <a16:predDERef xmlns:a16="http://schemas.microsoft.com/office/drawing/2014/main" pred="{00000000-0008-0000-5C00-000002000000}"/>
            </a:ext>
          </a:extLst>
        </xdr:cNvPr>
        <xdr:cNvPicPr>
          <a:picLocks noChangeAspect="1"/>
        </xdr:cNvPicPr>
      </xdr:nvPicPr>
      <xdr:blipFill>
        <a:blip xmlns:r="http://schemas.openxmlformats.org/officeDocument/2006/relationships" r:embed="rId4"/>
        <a:stretch>
          <a:fillRect/>
        </a:stretch>
      </xdr:blipFill>
      <xdr:spPr>
        <a:xfrm>
          <a:off x="17278350" y="1438275"/>
          <a:ext cx="4572000" cy="4343400"/>
        </a:xfrm>
        <a:prstGeom prst="rect">
          <a:avLst/>
        </a:prstGeom>
      </xdr:spPr>
    </xdr:pic>
    <xdr:clientData/>
  </xdr:twoCellAnchor>
</xdr:wsDr>
</file>

<file path=xl/drawings/drawing183.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139921</xdr:colOff>
      <xdr:row>1</xdr:row>
      <xdr:rowOff>54428</xdr:rowOff>
    </xdr:from>
    <xdr:to>
      <xdr:col>23</xdr:col>
      <xdr:colOff>180438</xdr:colOff>
      <xdr:row>11</xdr:row>
      <xdr:rowOff>68035</xdr:rowOff>
    </xdr:to>
    <xdr:pic>
      <xdr:nvPicPr>
        <xdr:cNvPr id="5" name="Imagen 4" descr="https://blogger.googleusercontent.com/img/b/R29vZ2xl/AVvXsEjvJ9Fg2tjWbfm5FV7gaaHve2eGzeFxCSd792xXXoWoSIxE9TFA2-kmh5iPUZPY-WAIYSPUc316WZeKJjygjb0Jp1Z79vKhpBrXXOHzmCzNL4RKWCOsvnthvRGj_vLKyoFRKoFaPn0ubknw860HlekZtZ8uNAlIsqgxBr4QfR3moenvvgyH8ztk7Wwmmw/s559/indicadores%20de%20gesti%C3%B3n%20de%20seguridad%20y%20salud%20ocupacional.png">
          <a:extLst>
            <a:ext uri="{FF2B5EF4-FFF2-40B4-BE49-F238E27FC236}">
              <a16:creationId xmlns:a16="http://schemas.microsoft.com/office/drawing/2014/main" id="{00000000-0008-0000-6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34457" y="993321"/>
          <a:ext cx="3088517" cy="2612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0.00364</cdr:x>
      <cdr:y>0.9135</cdr:y>
    </cdr:from>
    <cdr:to>
      <cdr:x>0.45705</cdr:x>
      <cdr:y>0.97377</cdr:y>
    </cdr:to>
    <cdr:sp macro="" textlink="">
      <cdr:nvSpPr>
        <cdr:cNvPr id="4" name="CuadroTexto 1"/>
        <cdr:cNvSpPr txBox="1"/>
      </cdr:nvSpPr>
      <cdr:spPr>
        <a:xfrm xmlns:a="http://schemas.openxmlformats.org/drawingml/2006/main">
          <a:off x="76200" y="10615332"/>
          <a:ext cx="9483932" cy="700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IDOPPRIL</a:t>
          </a:r>
        </a:p>
      </cdr:txBody>
    </cdr:sp>
  </cdr:relSizeAnchor>
</c:userShapes>
</file>

<file path=xl/drawings/drawing190.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91.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24</xdr:row>
      <xdr:rowOff>56029</xdr:rowOff>
    </xdr:from>
    <xdr:to>
      <xdr:col>8</xdr:col>
      <xdr:colOff>1535206</xdr:colOff>
      <xdr:row>56</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2.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33617</xdr:colOff>
      <xdr:row>25</xdr:row>
      <xdr:rowOff>44824</xdr:rowOff>
    </xdr:from>
    <xdr:to>
      <xdr:col>8</xdr:col>
      <xdr:colOff>1456764</xdr:colOff>
      <xdr:row>54</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169769</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123265</xdr:colOff>
      <xdr:row>5</xdr:row>
      <xdr:rowOff>22412</xdr:rowOff>
    </xdr:from>
    <xdr:to>
      <xdr:col>35</xdr:col>
      <xdr:colOff>732865</xdr:colOff>
      <xdr:row>26</xdr:row>
      <xdr:rowOff>48447</xdr:rowOff>
    </xdr:to>
    <xdr:pic>
      <xdr:nvPicPr>
        <xdr:cNvPr id="7" name="Imagen 6">
          <a:extLst>
            <a:ext uri="{FF2B5EF4-FFF2-40B4-BE49-F238E27FC236}">
              <a16:creationId xmlns:a16="http://schemas.microsoft.com/office/drawing/2014/main" id="{00000000-0008-0000-7000-000007000000}"/>
            </a:ext>
          </a:extLst>
        </xdr:cNvPr>
        <xdr:cNvPicPr/>
      </xdr:nvPicPr>
      <xdr:blipFill>
        <a:blip xmlns:r="http://schemas.openxmlformats.org/officeDocument/2006/relationships" r:embed="rId3"/>
        <a:stretch>
          <a:fillRect/>
        </a:stretch>
      </xdr:blipFill>
      <xdr:spPr>
        <a:xfrm>
          <a:off x="27544059" y="1120588"/>
          <a:ext cx="5943600" cy="4407535"/>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99392</xdr:rowOff>
    </xdr:from>
    <xdr:to>
      <xdr:col>8</xdr:col>
      <xdr:colOff>488674</xdr:colOff>
      <xdr:row>31</xdr:row>
      <xdr:rowOff>16565</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9.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IDOPRILL</a:t>
          </a:r>
        </a:p>
      </cdr:txBody>
    </cdr:sp>
  </cdr:relSizeAnchor>
</c:userShapes>
</file>

<file path=xl/drawings/drawing200.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16</xdr:row>
      <xdr:rowOff>69272</xdr:rowOff>
    </xdr:from>
    <xdr:to>
      <xdr:col>3</xdr:col>
      <xdr:colOff>744682</xdr:colOff>
      <xdr:row>43</xdr:row>
      <xdr:rowOff>-1</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935490</xdr:colOff>
      <xdr:row>15</xdr:row>
      <xdr:rowOff>1</xdr:rowOff>
    </xdr:from>
    <xdr:to>
      <xdr:col>7</xdr:col>
      <xdr:colOff>813955</xdr:colOff>
      <xdr:row>43</xdr:row>
      <xdr:rowOff>86592</xdr:rowOff>
    </xdr:to>
    <xdr:graphicFrame macro="">
      <xdr:nvGraphicFramePr>
        <xdr:cNvPr id="6" name="Gráfico 5">
          <a:extLst>
            <a:ext uri="{FF2B5EF4-FFF2-40B4-BE49-F238E27FC236}">
              <a16:creationId xmlns:a16="http://schemas.microsoft.com/office/drawing/2014/main" id="{00000000-0008-0000-67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IDOPPRIL</a:t>
          </a:r>
        </a:p>
      </cdr:txBody>
    </cdr:sp>
  </cdr:relSizeAnchor>
</c:userShapes>
</file>

<file path=xl/drawings/drawing22.xml><?xml version="1.0" encoding="utf-8"?>
<c:userShapes xmlns:c="http://schemas.openxmlformats.org/drawingml/2006/chart">
  <cdr:relSizeAnchor xmlns:cdr="http://schemas.openxmlformats.org/drawingml/2006/chartDrawing">
    <cdr:from>
      <cdr:x>0.03909</cdr:x>
      <cdr:y>0.92</cdr:y>
    </cdr:from>
    <cdr:to>
      <cdr:x>0.72413</cdr:x>
      <cdr:y>0.99681</cdr:y>
    </cdr:to>
    <cdr:sp macro="" textlink="">
      <cdr:nvSpPr>
        <cdr:cNvPr id="2" name="CuadroTexto 1"/>
        <cdr:cNvSpPr txBox="1"/>
      </cdr:nvSpPr>
      <cdr:spPr>
        <a:xfrm xmlns:a="http://schemas.openxmlformats.org/drawingml/2006/main">
          <a:off x="948709" y="10515600"/>
          <a:ext cx="16625716" cy="877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000" b="1"/>
            <a:t>Fuente: </a:t>
          </a:r>
          <a:r>
            <a:rPr lang="es-DO" sz="4000"/>
            <a:t>SIPEN.  **Dato a junio</a:t>
          </a:r>
          <a:r>
            <a:rPr lang="es-DO" sz="4000" baseline="0"/>
            <a:t> </a:t>
          </a:r>
          <a:r>
            <a:rPr lang="es-DO" sz="4000"/>
            <a:t>2024</a:t>
          </a:r>
        </a:p>
      </cdr:txBody>
    </cdr:sp>
  </cdr:relSizeAnchor>
</c:userShapes>
</file>

<file path=xl/drawings/drawing23.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4000" b="1">
              <a:latin typeface="+mn-lt"/>
              <a:ea typeface="+mn-ea"/>
              <a:cs typeface="+mn-cs"/>
            </a:rPr>
            <a:t>Fuente: </a:t>
          </a:r>
          <a:r>
            <a:rPr lang="en-US" sz="4000">
              <a:latin typeface="+mn-lt"/>
              <a:ea typeface="+mn-ea"/>
              <a:cs typeface="+mn-cs"/>
            </a:rPr>
            <a:t>SIPEN </a:t>
          </a:r>
          <a:endParaRPr lang="en-US" sz="4000"/>
        </a:p>
        <a:p xmlns:a="http://schemas.openxmlformats.org/drawingml/2006/main">
          <a:endParaRPr lang="en-US" sz="4400"/>
        </a:p>
      </cdr:txBody>
    </cdr:sp>
  </cdr:relSizeAnchor>
</c:userShapes>
</file>

<file path=xl/drawings/drawing24.xml><?xml version="1.0" encoding="utf-8"?>
<c:userShapes xmlns:c="http://schemas.openxmlformats.org/drawingml/2006/chart">
  <cdr:relSizeAnchor xmlns:cdr="http://schemas.openxmlformats.org/drawingml/2006/chartDrawing">
    <cdr:from>
      <cdr:x>0.03389</cdr:x>
      <cdr:y>0.9268</cdr:y>
    </cdr:from>
    <cdr:to>
      <cdr:x>0.26353</cdr:x>
      <cdr:y>0.99394</cdr:y>
    </cdr:to>
    <cdr:sp macro="" textlink="">
      <cdr:nvSpPr>
        <cdr:cNvPr id="3" name="1 CuadroTexto"/>
        <cdr:cNvSpPr txBox="1"/>
      </cdr:nvSpPr>
      <cdr:spPr>
        <a:xfrm xmlns:a="http://schemas.openxmlformats.org/drawingml/2006/main">
          <a:off x="774700" y="9004300"/>
          <a:ext cx="5249627" cy="652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TSS</a:t>
          </a:r>
        </a:p>
      </cdr:txBody>
    </cdr:sp>
  </cdr:relSizeAnchor>
</c:userShapes>
</file>

<file path=xl/drawings/drawing25.xml><?xml version="1.0" encoding="utf-8"?>
<c:userShapes xmlns:c="http://schemas.openxmlformats.org/drawingml/2006/chart">
  <cdr:relSizeAnchor xmlns:cdr="http://schemas.openxmlformats.org/drawingml/2006/chartDrawing">
    <cdr:from>
      <cdr:x>0.03373</cdr:x>
      <cdr:y>0.90866</cdr:y>
    </cdr:from>
    <cdr:to>
      <cdr:x>0.3025</cdr:x>
      <cdr:y>0.97237</cdr:y>
    </cdr:to>
    <cdr:sp macro="" textlink="">
      <cdr:nvSpPr>
        <cdr:cNvPr id="2" name="CuadroTexto 1"/>
        <cdr:cNvSpPr txBox="1"/>
      </cdr:nvSpPr>
      <cdr:spPr>
        <a:xfrm xmlns:a="http://schemas.openxmlformats.org/drawingml/2006/main">
          <a:off x="965200" y="9728200"/>
          <a:ext cx="7690142" cy="6820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26.xml><?xml version="1.0" encoding="utf-8"?>
<xdr:wsDr xmlns:xdr="http://schemas.openxmlformats.org/drawingml/2006/spreadsheetDrawing" xmlns:a="http://schemas.openxmlformats.org/drawingml/2006/main">
  <xdr:twoCellAnchor>
    <xdr:from>
      <xdr:col>5</xdr:col>
      <xdr:colOff>6477000</xdr:colOff>
      <xdr:row>3</xdr:row>
      <xdr:rowOff>1409700</xdr:rowOff>
    </xdr:from>
    <xdr:to>
      <xdr:col>12</xdr:col>
      <xdr:colOff>1447800</xdr:colOff>
      <xdr:row>16</xdr:row>
      <xdr:rowOff>0</xdr:rowOff>
    </xdr:to>
    <xdr:graphicFrame macro="">
      <xdr:nvGraphicFramePr>
        <xdr:cNvPr id="2" name="Gráfico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2362200</xdr:colOff>
      <xdr:row>23</xdr:row>
      <xdr:rowOff>609600</xdr:rowOff>
    </xdr:from>
    <xdr:to>
      <xdr:col>6</xdr:col>
      <xdr:colOff>2857500</xdr:colOff>
      <xdr:row>36</xdr:row>
      <xdr:rowOff>495300</xdr:rowOff>
    </xdr:to>
    <xdr:graphicFrame macro="">
      <xdr:nvGraphicFramePr>
        <xdr:cNvPr id="3" name="Gráfico 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1214438</xdr:colOff>
      <xdr:row>0</xdr:row>
      <xdr:rowOff>204734</xdr:rowOff>
    </xdr:from>
    <xdr:to>
      <xdr:col>2</xdr:col>
      <xdr:colOff>2133600</xdr:colOff>
      <xdr:row>0</xdr:row>
      <xdr:rowOff>3351708</xdr:rowOff>
    </xdr:to>
    <xdr:pic>
      <xdr:nvPicPr>
        <xdr:cNvPr id="4" name="Imagen 3">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14438" y="204734"/>
          <a:ext cx="5148262" cy="3146974"/>
        </a:xfrm>
        <a:prstGeom prst="rect">
          <a:avLst/>
        </a:prstGeom>
      </xdr:spPr>
    </xdr:pic>
    <xdr:clientData/>
  </xdr:twoCellAnchor>
  <xdr:twoCellAnchor>
    <xdr:from>
      <xdr:col>0</xdr:col>
      <xdr:colOff>533400</xdr:colOff>
      <xdr:row>92</xdr:row>
      <xdr:rowOff>971550</xdr:rowOff>
    </xdr:from>
    <xdr:to>
      <xdr:col>5</xdr:col>
      <xdr:colOff>6667500</xdr:colOff>
      <xdr:row>102</xdr:row>
      <xdr:rowOff>304800</xdr:rowOff>
    </xdr:to>
    <xdr:graphicFrame macro="">
      <xdr:nvGraphicFramePr>
        <xdr:cNvPr id="5" name="Gráfico 4">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65</xdr:col>
      <xdr:colOff>685800</xdr:colOff>
      <xdr:row>2</xdr:row>
      <xdr:rowOff>514350</xdr:rowOff>
    </xdr:from>
    <xdr:to>
      <xdr:col>96</xdr:col>
      <xdr:colOff>476250</xdr:colOff>
      <xdr:row>21</xdr:row>
      <xdr:rowOff>990600</xdr:rowOff>
    </xdr:to>
    <xdr:graphicFrame macro="">
      <xdr:nvGraphicFramePr>
        <xdr:cNvPr id="6" name="6 Gráfico">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7848600</xdr:colOff>
      <xdr:row>94</xdr:row>
      <xdr:rowOff>295275</xdr:rowOff>
    </xdr:from>
    <xdr:to>
      <xdr:col>8</xdr:col>
      <xdr:colOff>606908</xdr:colOff>
      <xdr:row>103</xdr:row>
      <xdr:rowOff>0</xdr:rowOff>
    </xdr:to>
    <xdr:sp macro="" textlink="">
      <xdr:nvSpPr>
        <xdr:cNvPr id="7" name="TextBox 3176">
          <a:extLst>
            <a:ext uri="{FF2B5EF4-FFF2-40B4-BE49-F238E27FC236}">
              <a16:creationId xmlns:a16="http://schemas.microsoft.com/office/drawing/2014/main" id="{00000000-0008-0000-0500-00002E000000}"/>
            </a:ext>
          </a:extLst>
        </xdr:cNvPr>
        <xdr:cNvSpPr txBox="1"/>
      </xdr:nvSpPr>
      <xdr:spPr>
        <a:xfrm>
          <a:off x="29841825" y="107032425"/>
          <a:ext cx="4207358" cy="8505825"/>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15,108</a:t>
          </a:r>
        </a:p>
      </xdr:txBody>
    </xdr:sp>
    <xdr:clientData/>
  </xdr:twoCellAnchor>
  <xdr:twoCellAnchor>
    <xdr:from>
      <xdr:col>0</xdr:col>
      <xdr:colOff>0</xdr:colOff>
      <xdr:row>51</xdr:row>
      <xdr:rowOff>1676400</xdr:rowOff>
    </xdr:from>
    <xdr:to>
      <xdr:col>6</xdr:col>
      <xdr:colOff>609600</xdr:colOff>
      <xdr:row>62</xdr:row>
      <xdr:rowOff>228600</xdr:rowOff>
    </xdr:to>
    <xdr:graphicFrame macro="">
      <xdr:nvGraphicFramePr>
        <xdr:cNvPr id="8" name="Gráfico 7">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6781800</xdr:colOff>
      <xdr:row>92</xdr:row>
      <xdr:rowOff>971550</xdr:rowOff>
    </xdr:from>
    <xdr:to>
      <xdr:col>12</xdr:col>
      <xdr:colOff>1219200</xdr:colOff>
      <xdr:row>102</xdr:row>
      <xdr:rowOff>266700</xdr:rowOff>
    </xdr:to>
    <xdr:graphicFrame macro="">
      <xdr:nvGraphicFramePr>
        <xdr:cNvPr id="9" name="Gráfico 8">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50</xdr:col>
      <xdr:colOff>0</xdr:colOff>
      <xdr:row>96</xdr:row>
      <xdr:rowOff>0</xdr:rowOff>
    </xdr:from>
    <xdr:to>
      <xdr:col>50</xdr:col>
      <xdr:colOff>304800</xdr:colOff>
      <xdr:row>96</xdr:row>
      <xdr:rowOff>304800</xdr:rowOff>
    </xdr:to>
    <xdr:sp macro="" textlink="">
      <xdr:nvSpPr>
        <xdr:cNvPr id="10" name="AutoShape 1" descr="Cuál es el significado de la palabra 'OK'? ¿Por qué se usa? | Marca">
          <a:extLst>
            <a:ext uri="{FF2B5EF4-FFF2-40B4-BE49-F238E27FC236}">
              <a16:creationId xmlns:a16="http://schemas.microsoft.com/office/drawing/2014/main" id="{00000000-0008-0000-0500-000001100000}"/>
            </a:ext>
          </a:extLst>
        </xdr:cNvPr>
        <xdr:cNvSpPr>
          <a:spLocks noChangeAspect="1" noChangeArrowheads="1"/>
        </xdr:cNvSpPr>
      </xdr:nvSpPr>
      <xdr:spPr bwMode="auto">
        <a:xfrm>
          <a:off x="110023275" y="10312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50</xdr:col>
      <xdr:colOff>0</xdr:colOff>
      <xdr:row>96</xdr:row>
      <xdr:rowOff>0</xdr:rowOff>
    </xdr:from>
    <xdr:to>
      <xdr:col>50</xdr:col>
      <xdr:colOff>304800</xdr:colOff>
      <xdr:row>96</xdr:row>
      <xdr:rowOff>304800</xdr:rowOff>
    </xdr:to>
    <xdr:sp macro="" textlink="">
      <xdr:nvSpPr>
        <xdr:cNvPr id="11" name="AutoShape 2" descr="Cuál es el significado de la palabra 'OK'? ¿Por qué se usa? | Marca">
          <a:extLst>
            <a:ext uri="{FF2B5EF4-FFF2-40B4-BE49-F238E27FC236}">
              <a16:creationId xmlns:a16="http://schemas.microsoft.com/office/drawing/2014/main" id="{00000000-0008-0000-0500-000002100000}"/>
            </a:ext>
          </a:extLst>
        </xdr:cNvPr>
        <xdr:cNvSpPr>
          <a:spLocks noChangeAspect="1" noChangeArrowheads="1"/>
        </xdr:cNvSpPr>
      </xdr:nvSpPr>
      <xdr:spPr bwMode="auto">
        <a:xfrm>
          <a:off x="110023275" y="10312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3200400</xdr:colOff>
      <xdr:row>16</xdr:row>
      <xdr:rowOff>0</xdr:rowOff>
    </xdr:from>
    <xdr:to>
      <xdr:col>6</xdr:col>
      <xdr:colOff>2247900</xdr:colOff>
      <xdr:row>23</xdr:row>
      <xdr:rowOff>419100</xdr:rowOff>
    </xdr:to>
    <xdr:graphicFrame macro="">
      <xdr:nvGraphicFramePr>
        <xdr:cNvPr id="12" name="Gráfico 11">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114300</xdr:colOff>
      <xdr:row>2</xdr:row>
      <xdr:rowOff>9525</xdr:rowOff>
    </xdr:from>
    <xdr:to>
      <xdr:col>13</xdr:col>
      <xdr:colOff>38100</xdr:colOff>
      <xdr:row>3</xdr:row>
      <xdr:rowOff>876300</xdr:rowOff>
    </xdr:to>
    <xdr:sp macro="" textlink="">
      <xdr:nvSpPr>
        <xdr:cNvPr id="13" name="Rectángulo redondeado 12">
          <a:extLst>
            <a:ext uri="{FF2B5EF4-FFF2-40B4-BE49-F238E27FC236}">
              <a16:creationId xmlns:a16="http://schemas.microsoft.com/office/drawing/2014/main" id="{00000000-0008-0000-0900-00002D000000}"/>
            </a:ext>
          </a:extLst>
        </xdr:cNvPr>
        <xdr:cNvSpPr/>
      </xdr:nvSpPr>
      <xdr:spPr>
        <a:xfrm>
          <a:off x="114300" y="3971925"/>
          <a:ext cx="47091600" cy="1019175"/>
        </a:xfrm>
        <a:prstGeom prst="roundRect">
          <a:avLst/>
        </a:prstGeom>
        <a:solidFill>
          <a:schemeClr val="tx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Familiar de Salud (SFS)</a:t>
          </a:r>
        </a:p>
      </xdr:txBody>
    </xdr:sp>
    <xdr:clientData/>
  </xdr:twoCellAnchor>
  <xdr:twoCellAnchor>
    <xdr:from>
      <xdr:col>0</xdr:col>
      <xdr:colOff>0</xdr:colOff>
      <xdr:row>2</xdr:row>
      <xdr:rowOff>9697</xdr:rowOff>
    </xdr:from>
    <xdr:to>
      <xdr:col>2</xdr:col>
      <xdr:colOff>2095500</xdr:colOff>
      <xdr:row>36</xdr:row>
      <xdr:rowOff>304800</xdr:rowOff>
    </xdr:to>
    <xdr:grpSp>
      <xdr:nvGrpSpPr>
        <xdr:cNvPr id="14" name="Grupo 13">
          <a:extLst>
            <a:ext uri="{FF2B5EF4-FFF2-40B4-BE49-F238E27FC236}">
              <a16:creationId xmlns:a16="http://schemas.microsoft.com/office/drawing/2014/main" id="{00000000-0008-0000-0900-000000C00100}"/>
            </a:ext>
          </a:extLst>
        </xdr:cNvPr>
        <xdr:cNvGrpSpPr/>
      </xdr:nvGrpSpPr>
      <xdr:grpSpPr>
        <a:xfrm>
          <a:off x="0" y="3972097"/>
          <a:ext cx="6305550" cy="30060728"/>
          <a:chOff x="-25726" y="4478006"/>
          <a:chExt cx="7772400" cy="40245614"/>
        </a:xfrm>
        <a:solidFill>
          <a:srgbClr val="00539B"/>
        </a:solidFill>
        <a:effectLst>
          <a:glow rad="101600">
            <a:schemeClr val="accent1">
              <a:satMod val="175000"/>
              <a:alpha val="40000"/>
            </a:schemeClr>
          </a:glow>
        </a:effectLst>
      </xdr:grpSpPr>
      <xdr:sp macro="" textlink="">
        <xdr:nvSpPr>
          <xdr:cNvPr id="15" name="Rectángulo redondeado 14">
            <a:extLst>
              <a:ext uri="{FF2B5EF4-FFF2-40B4-BE49-F238E27FC236}">
                <a16:creationId xmlns:a16="http://schemas.microsoft.com/office/drawing/2014/main" id="{00000000-0008-0000-0900-00002E000000}"/>
              </a:ext>
            </a:extLst>
          </xdr:cNvPr>
          <xdr:cNvSpPr/>
        </xdr:nvSpPr>
        <xdr:spPr>
          <a:xfrm>
            <a:off x="-25726" y="4478006"/>
            <a:ext cx="7772400" cy="6210301"/>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endParaRPr lang="es-DO" sz="40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97.2%</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bg1"/>
                </a:solidFill>
                <a:effectLst/>
                <a:latin typeface="+mn-lt"/>
                <a:ea typeface="+mn-ea"/>
                <a:cs typeface="+mn-cs"/>
              </a:rPr>
              <a:t>% Afiliado</a:t>
            </a:r>
            <a:r>
              <a:rPr lang="es-DO" sz="5400" b="1" baseline="0">
                <a:solidFill>
                  <a:schemeClr val="bg1"/>
                </a:solidFill>
                <a:effectLst/>
                <a:latin typeface="+mn-lt"/>
                <a:ea typeface="+mn-ea"/>
                <a:cs typeface="+mn-cs"/>
              </a:rPr>
              <a:t> SFS </a:t>
            </a:r>
            <a:r>
              <a:rPr lang="es-DO" sz="5400" b="1">
                <a:solidFill>
                  <a:schemeClr val="bg1"/>
                </a:solidFill>
                <a:effectLst/>
                <a:latin typeface="+mn-lt"/>
                <a:ea typeface="+mn-ea"/>
                <a:cs typeface="+mn-cs"/>
              </a:rPr>
              <a:t>de la Población Nacional</a:t>
            </a:r>
            <a:endParaRPr lang="es-DO" sz="4800">
              <a:solidFill>
                <a:schemeClr val="bg1"/>
              </a:solidFill>
            </a:endParaRPr>
          </a:p>
        </xdr:txBody>
      </xdr:sp>
      <xdr:sp macro="" textlink="">
        <xdr:nvSpPr>
          <xdr:cNvPr id="16" name="Rectángulo redondeado 15">
            <a:extLst>
              <a:ext uri="{FF2B5EF4-FFF2-40B4-BE49-F238E27FC236}">
                <a16:creationId xmlns:a16="http://schemas.microsoft.com/office/drawing/2014/main" id="{00000000-0008-0000-0900-000030000000}"/>
              </a:ext>
            </a:extLst>
          </xdr:cNvPr>
          <xdr:cNvSpPr/>
        </xdr:nvSpPr>
        <xdr:spPr>
          <a:xfrm>
            <a:off x="-25726" y="11027276"/>
            <a:ext cx="7400692" cy="6547941"/>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10564,432</a:t>
            </a:r>
            <a:endParaRPr lang="es-DO" sz="11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Afiliación SFS</a:t>
            </a:r>
            <a:endParaRPr lang="es-DO" sz="6000">
              <a:solidFill>
                <a:schemeClr val="bg1"/>
              </a:solidFill>
              <a:effectLst/>
            </a:endParaRPr>
          </a:p>
          <a:p>
            <a:pPr algn="ctr"/>
            <a:endParaRPr lang="es-DO" sz="5400">
              <a:solidFill>
                <a:schemeClr val="bg1"/>
              </a:solidFill>
            </a:endParaRPr>
          </a:p>
        </xdr:txBody>
      </xdr:sp>
      <xdr:sp macro="" textlink="">
        <xdr:nvSpPr>
          <xdr:cNvPr id="17" name="Rectángulo redondeado 16">
            <a:extLst>
              <a:ext uri="{FF2B5EF4-FFF2-40B4-BE49-F238E27FC236}">
                <a16:creationId xmlns:a16="http://schemas.microsoft.com/office/drawing/2014/main" id="{00000000-0008-0000-0900-000031000000}"/>
              </a:ext>
            </a:extLst>
          </xdr:cNvPr>
          <xdr:cNvSpPr/>
        </xdr:nvSpPr>
        <xdr:spPr>
          <a:xfrm>
            <a:off x="131736" y="18004953"/>
            <a:ext cx="7429500"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2,554,953</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Afiliación</a:t>
            </a:r>
            <a:r>
              <a:rPr lang="es-DO" sz="6000" b="1" baseline="0">
                <a:solidFill>
                  <a:schemeClr val="bg1"/>
                </a:solidFill>
                <a:effectLst/>
                <a:latin typeface="+mn-lt"/>
                <a:ea typeface="+mn-ea"/>
                <a:cs typeface="+mn-cs"/>
              </a:rPr>
              <a:t> SRL</a:t>
            </a:r>
            <a:endParaRPr lang="es-DO" sz="6000">
              <a:solidFill>
                <a:schemeClr val="bg1"/>
              </a:solidFill>
            </a:endParaRPr>
          </a:p>
        </xdr:txBody>
      </xdr:sp>
      <xdr:sp macro="" textlink="">
        <xdr:nvSpPr>
          <xdr:cNvPr id="18" name="Rectángulo redondeado 17">
            <a:extLst>
              <a:ext uri="{FF2B5EF4-FFF2-40B4-BE49-F238E27FC236}">
                <a16:creationId xmlns:a16="http://schemas.microsoft.com/office/drawing/2014/main" id="{00000000-0008-0000-0900-000032000000}"/>
              </a:ext>
            </a:extLst>
          </xdr:cNvPr>
          <xdr:cNvSpPr/>
        </xdr:nvSpPr>
        <xdr:spPr>
          <a:xfrm>
            <a:off x="194623" y="31557416"/>
            <a:ext cx="7239000"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RD$ 1,683.22</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 Cápita</a:t>
            </a:r>
            <a:r>
              <a:rPr lang="es-DO" sz="6000" b="1" baseline="0">
                <a:solidFill>
                  <a:schemeClr val="bg1"/>
                </a:solidFill>
                <a:effectLst/>
                <a:latin typeface="+mn-lt"/>
                <a:ea typeface="+mn-ea"/>
                <a:cs typeface="+mn-cs"/>
              </a:rPr>
              <a:t> </a:t>
            </a:r>
            <a:r>
              <a:rPr lang="es-DO" sz="6000" b="1">
                <a:solidFill>
                  <a:schemeClr val="bg1"/>
                </a:solidFill>
                <a:effectLst/>
                <a:latin typeface="+mn-lt"/>
                <a:ea typeface="+mn-ea"/>
                <a:cs typeface="+mn-cs"/>
              </a:rPr>
              <a:t>SFS RC  </a:t>
            </a:r>
            <a:endParaRPr lang="es-DO" sz="6000">
              <a:solidFill>
                <a:schemeClr val="bg1"/>
              </a:solidFill>
            </a:endParaRPr>
          </a:p>
        </xdr:txBody>
      </xdr:sp>
      <xdr:sp macro="" textlink="">
        <xdr:nvSpPr>
          <xdr:cNvPr id="19" name="Rectángulo redondeado 18">
            <a:extLst>
              <a:ext uri="{FF2B5EF4-FFF2-40B4-BE49-F238E27FC236}">
                <a16:creationId xmlns:a16="http://schemas.microsoft.com/office/drawing/2014/main" id="{00000000-0008-0000-0900-000033000000}"/>
              </a:ext>
            </a:extLst>
          </xdr:cNvPr>
          <xdr:cNvSpPr/>
        </xdr:nvSpPr>
        <xdr:spPr>
          <a:xfrm>
            <a:off x="249001" y="38284720"/>
            <a:ext cx="7086600" cy="6438900"/>
          </a:xfrm>
          <a:prstGeom prst="roundRect">
            <a:avLst/>
          </a:prstGeom>
          <a:grpFill/>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RD$321.97</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Cápita SFS RS  </a:t>
            </a:r>
          </a:p>
        </xdr:txBody>
      </xdr:sp>
      <xdr:sp macro="" textlink="">
        <xdr:nvSpPr>
          <xdr:cNvPr id="20" name="Rectángulo redondeado 19">
            <a:extLst>
              <a:ext uri="{FF2B5EF4-FFF2-40B4-BE49-F238E27FC236}">
                <a16:creationId xmlns:a16="http://schemas.microsoft.com/office/drawing/2014/main" id="{00000000-0008-0000-0900-000034000000}"/>
              </a:ext>
            </a:extLst>
          </xdr:cNvPr>
          <xdr:cNvSpPr/>
        </xdr:nvSpPr>
        <xdr:spPr>
          <a:xfrm>
            <a:off x="104985" y="24746149"/>
            <a:ext cx="7388077"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5,392,563</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Afiliados SVDS</a:t>
            </a:r>
            <a:endParaRPr lang="es-DO" sz="6000">
              <a:solidFill>
                <a:schemeClr val="bg1"/>
              </a:solidFill>
              <a:effectLst/>
            </a:endParaRPr>
          </a:p>
          <a:p>
            <a:pPr algn="ctr"/>
            <a:endParaRPr lang="es-DO" sz="5400">
              <a:solidFill>
                <a:schemeClr val="bg1"/>
              </a:solidFill>
            </a:endParaRPr>
          </a:p>
        </xdr:txBody>
      </xdr:sp>
    </xdr:grpSp>
    <xdr:clientData/>
  </xdr:twoCellAnchor>
  <xdr:twoCellAnchor>
    <xdr:from>
      <xdr:col>33</xdr:col>
      <xdr:colOff>419100</xdr:colOff>
      <xdr:row>21</xdr:row>
      <xdr:rowOff>114300</xdr:rowOff>
    </xdr:from>
    <xdr:to>
      <xdr:col>53</xdr:col>
      <xdr:colOff>571500</xdr:colOff>
      <xdr:row>36</xdr:row>
      <xdr:rowOff>266700</xdr:rowOff>
    </xdr:to>
    <xdr:graphicFrame macro="">
      <xdr:nvGraphicFramePr>
        <xdr:cNvPr id="21" name="Gráfico 20">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1371600</xdr:colOff>
      <xdr:row>51</xdr:row>
      <xdr:rowOff>1104900</xdr:rowOff>
    </xdr:from>
    <xdr:to>
      <xdr:col>12</xdr:col>
      <xdr:colOff>1104900</xdr:colOff>
      <xdr:row>62</xdr:row>
      <xdr:rowOff>114300</xdr:rowOff>
    </xdr:to>
    <xdr:graphicFrame macro="">
      <xdr:nvGraphicFramePr>
        <xdr:cNvPr id="29" name="Gráfico 28">
          <a:extLst>
            <a:ext uri="{FF2B5EF4-FFF2-40B4-BE49-F238E27FC236}">
              <a16:creationId xmlns:a16="http://schemas.microsoft.com/office/drawing/2014/main" id="{00000000-0008-0000-09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228600</xdr:colOff>
      <xdr:row>78</xdr:row>
      <xdr:rowOff>76200</xdr:rowOff>
    </xdr:from>
    <xdr:to>
      <xdr:col>6</xdr:col>
      <xdr:colOff>1714500</xdr:colOff>
      <xdr:row>85</xdr:row>
      <xdr:rowOff>3619500</xdr:rowOff>
    </xdr:to>
    <xdr:graphicFrame macro="">
      <xdr:nvGraphicFramePr>
        <xdr:cNvPr id="30"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381000</xdr:colOff>
      <xdr:row>85</xdr:row>
      <xdr:rowOff>3505200</xdr:rowOff>
    </xdr:from>
    <xdr:to>
      <xdr:col>6</xdr:col>
      <xdr:colOff>2095500</xdr:colOff>
      <xdr:row>92</xdr:row>
      <xdr:rowOff>2438400</xdr:rowOff>
    </xdr:to>
    <xdr:graphicFrame macro="">
      <xdr:nvGraphicFramePr>
        <xdr:cNvPr id="31"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2362200</xdr:colOff>
      <xdr:row>85</xdr:row>
      <xdr:rowOff>3886200</xdr:rowOff>
    </xdr:from>
    <xdr:to>
      <xdr:col>12</xdr:col>
      <xdr:colOff>1485900</xdr:colOff>
      <xdr:row>92</xdr:row>
      <xdr:rowOff>838200</xdr:rowOff>
    </xdr:to>
    <xdr:graphicFrame macro="">
      <xdr:nvGraphicFramePr>
        <xdr:cNvPr id="32"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2057400</xdr:colOff>
      <xdr:row>62</xdr:row>
      <xdr:rowOff>381001</xdr:rowOff>
    </xdr:from>
    <xdr:to>
      <xdr:col>12</xdr:col>
      <xdr:colOff>876300</xdr:colOff>
      <xdr:row>75</xdr:row>
      <xdr:rowOff>495301</xdr:rowOff>
    </xdr:to>
    <xdr:graphicFrame macro="">
      <xdr:nvGraphicFramePr>
        <xdr:cNvPr id="36" name="Gráfico 35">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38100</xdr:colOff>
      <xdr:row>63</xdr:row>
      <xdr:rowOff>0</xdr:rowOff>
    </xdr:from>
    <xdr:to>
      <xdr:col>6</xdr:col>
      <xdr:colOff>1866900</xdr:colOff>
      <xdr:row>75</xdr:row>
      <xdr:rowOff>419101</xdr:rowOff>
    </xdr:to>
    <xdr:graphicFrame macro="">
      <xdr:nvGraphicFramePr>
        <xdr:cNvPr id="37"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3124200</xdr:colOff>
      <xdr:row>23</xdr:row>
      <xdr:rowOff>381000</xdr:rowOff>
    </xdr:from>
    <xdr:to>
      <xdr:col>12</xdr:col>
      <xdr:colOff>914400</xdr:colOff>
      <xdr:row>36</xdr:row>
      <xdr:rowOff>533400</xdr:rowOff>
    </xdr:to>
    <xdr:graphicFrame macro="">
      <xdr:nvGraphicFramePr>
        <xdr:cNvPr id="40" name="Gráfico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38</xdr:row>
      <xdr:rowOff>114300</xdr:rowOff>
    </xdr:from>
    <xdr:to>
      <xdr:col>6</xdr:col>
      <xdr:colOff>1866900</xdr:colOff>
      <xdr:row>51</xdr:row>
      <xdr:rowOff>1447800</xdr:rowOff>
    </xdr:to>
    <xdr:graphicFrame macro="">
      <xdr:nvGraphicFramePr>
        <xdr:cNvPr id="41" name="Gráfico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1638300</xdr:colOff>
      <xdr:row>37</xdr:row>
      <xdr:rowOff>1600200</xdr:rowOff>
    </xdr:from>
    <xdr:to>
      <xdr:col>12</xdr:col>
      <xdr:colOff>1104900</xdr:colOff>
      <xdr:row>51</xdr:row>
      <xdr:rowOff>838200</xdr:rowOff>
    </xdr:to>
    <xdr:graphicFrame macro="">
      <xdr:nvGraphicFramePr>
        <xdr:cNvPr id="42" name="Gráfico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2819400</xdr:colOff>
      <xdr:row>78</xdr:row>
      <xdr:rowOff>76200</xdr:rowOff>
    </xdr:from>
    <xdr:to>
      <xdr:col>12</xdr:col>
      <xdr:colOff>1371600</xdr:colOff>
      <xdr:row>85</xdr:row>
      <xdr:rowOff>2171700</xdr:rowOff>
    </xdr:to>
    <xdr:graphicFrame macro="">
      <xdr:nvGraphicFramePr>
        <xdr:cNvPr id="43"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31</xdr:col>
      <xdr:colOff>0</xdr:colOff>
      <xdr:row>8</xdr:row>
      <xdr:rowOff>0</xdr:rowOff>
    </xdr:from>
    <xdr:to>
      <xdr:col>62</xdr:col>
      <xdr:colOff>723900</xdr:colOff>
      <xdr:row>20</xdr:row>
      <xdr:rowOff>274377</xdr:rowOff>
    </xdr:to>
    <xdr:pic>
      <xdr:nvPicPr>
        <xdr:cNvPr id="44" name="chart">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20"/>
        <a:stretch>
          <a:fillRect/>
        </a:stretch>
      </xdr:blipFill>
      <xdr:spPr>
        <a:xfrm>
          <a:off x="95545275" y="9039225"/>
          <a:ext cx="24345900" cy="9189777"/>
        </a:xfrm>
        <a:prstGeom prst="rect">
          <a:avLst/>
        </a:prstGeom>
      </xdr:spPr>
    </xdr:pic>
    <xdr:clientData/>
  </xdr:twoCellAnchor>
  <xdr:twoCellAnchor>
    <xdr:from>
      <xdr:col>56</xdr:col>
      <xdr:colOff>514348</xdr:colOff>
      <xdr:row>31</xdr:row>
      <xdr:rowOff>0</xdr:rowOff>
    </xdr:from>
    <xdr:to>
      <xdr:col>76</xdr:col>
      <xdr:colOff>266700</xdr:colOff>
      <xdr:row>41</xdr:row>
      <xdr:rowOff>0</xdr:rowOff>
    </xdr:to>
    <xdr:graphicFrame macro="">
      <xdr:nvGraphicFramePr>
        <xdr:cNvPr id="45" name="Gráfico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28</xdr:col>
      <xdr:colOff>381000</xdr:colOff>
      <xdr:row>41</xdr:row>
      <xdr:rowOff>0</xdr:rowOff>
    </xdr:from>
    <xdr:to>
      <xdr:col>31</xdr:col>
      <xdr:colOff>138466</xdr:colOff>
      <xdr:row>45</xdr:row>
      <xdr:rowOff>245116</xdr:rowOff>
    </xdr:to>
    <xdr:pic>
      <xdr:nvPicPr>
        <xdr:cNvPr id="46" name="Imagen 45"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22">
          <a:duotone>
            <a:prstClr val="black"/>
            <a:srgbClr val="92D050">
              <a:tint val="45000"/>
              <a:satMod val="400000"/>
            </a:srgbClr>
          </a:duotone>
          <a:extLst>
            <a:ext uri="{BEBA8EAE-BF5A-486C-A8C5-ECC9F3942E4B}">
              <a14:imgProps xmlns:a14="http://schemas.microsoft.com/office/drawing/2010/main">
                <a14:imgLayer r:embed="rId23">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93640275" y="33873434"/>
          <a:ext cx="2043466" cy="4255141"/>
        </a:xfrm>
        <a:prstGeom prst="rect">
          <a:avLst/>
        </a:prstGeom>
      </xdr:spPr>
    </xdr:pic>
    <xdr:clientData/>
  </xdr:twoCellAnchor>
  <xdr:twoCellAnchor editAs="oneCell">
    <xdr:from>
      <xdr:col>31</xdr:col>
      <xdr:colOff>599993</xdr:colOff>
      <xdr:row>41</xdr:row>
      <xdr:rowOff>0</xdr:rowOff>
    </xdr:from>
    <xdr:to>
      <xdr:col>36</xdr:col>
      <xdr:colOff>495301</xdr:colOff>
      <xdr:row>51</xdr:row>
      <xdr:rowOff>1552575</xdr:rowOff>
    </xdr:to>
    <xdr:pic>
      <xdr:nvPicPr>
        <xdr:cNvPr id="47" name="Imagen 46"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24">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96145268" y="34118550"/>
          <a:ext cx="3705308" cy="9182100"/>
        </a:xfrm>
        <a:prstGeom prst="rect">
          <a:avLst/>
        </a:prstGeom>
      </xdr:spPr>
    </xdr:pic>
    <xdr:clientData/>
  </xdr:twoCellAnchor>
  <xdr:twoCellAnchor editAs="oneCell">
    <xdr:from>
      <xdr:col>8</xdr:col>
      <xdr:colOff>2381250</xdr:colOff>
      <xdr:row>83</xdr:row>
      <xdr:rowOff>152400</xdr:rowOff>
    </xdr:from>
    <xdr:to>
      <xdr:col>9</xdr:col>
      <xdr:colOff>3424793</xdr:colOff>
      <xdr:row>84</xdr:row>
      <xdr:rowOff>2171700</xdr:rowOff>
    </xdr:to>
    <xdr:pic>
      <xdr:nvPicPr>
        <xdr:cNvPr id="48" name="Imagen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6480750" y="77190600"/>
          <a:ext cx="3443843" cy="3657600"/>
        </a:xfrm>
        <a:prstGeom prst="rect">
          <a:avLst/>
        </a:prstGeom>
      </xdr:spPr>
    </xdr:pic>
    <xdr:clientData/>
  </xdr:twoCellAnchor>
  <xdr:twoCellAnchor editAs="oneCell">
    <xdr:from>
      <xdr:col>7</xdr:col>
      <xdr:colOff>3121800</xdr:colOff>
      <xdr:row>83</xdr:row>
      <xdr:rowOff>609600</xdr:rowOff>
    </xdr:from>
    <xdr:to>
      <xdr:col>9</xdr:col>
      <xdr:colOff>616809</xdr:colOff>
      <xdr:row>85</xdr:row>
      <xdr:rowOff>92691</xdr:rowOff>
    </xdr:to>
    <xdr:pic>
      <xdr:nvPicPr>
        <xdr:cNvPr id="49" name="Imagen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601800" y="77647800"/>
          <a:ext cx="3514809" cy="3635991"/>
        </a:xfrm>
        <a:prstGeom prst="rect">
          <a:avLst/>
        </a:prstGeom>
        <a:noFill/>
        <a:ln>
          <a:noFill/>
        </a:ln>
      </xdr:spPr>
    </xdr:pic>
    <xdr:clientData/>
  </xdr:twoCellAnchor>
  <xdr:twoCellAnchor editAs="oneCell">
    <xdr:from>
      <xdr:col>81</xdr:col>
      <xdr:colOff>285750</xdr:colOff>
      <xdr:row>20</xdr:row>
      <xdr:rowOff>1619250</xdr:rowOff>
    </xdr:from>
    <xdr:to>
      <xdr:col>100</xdr:col>
      <xdr:colOff>34978</xdr:colOff>
      <xdr:row>29</xdr:row>
      <xdr:rowOff>800099</xdr:rowOff>
    </xdr:to>
    <xdr:pic>
      <xdr:nvPicPr>
        <xdr:cNvPr id="50" name="Imagen 49" descr="Gráfica del día: Hombres y mujeres que se consideran feministas en México">
          <a:extLst>
            <a:ext uri="{FF2B5EF4-FFF2-40B4-BE49-F238E27FC236}">
              <a16:creationId xmlns:a16="http://schemas.microsoft.com/office/drawing/2014/main" id="{00000000-0008-0000-0600-000032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2467" r="1307" b="20262"/>
        <a:stretch/>
      </xdr:blipFill>
      <xdr:spPr bwMode="auto">
        <a:xfrm>
          <a:off x="134112000" y="18478500"/>
          <a:ext cx="14227228" cy="8972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133350</xdr:colOff>
      <xdr:row>20</xdr:row>
      <xdr:rowOff>1390650</xdr:rowOff>
    </xdr:from>
    <xdr:to>
      <xdr:col>77</xdr:col>
      <xdr:colOff>95250</xdr:colOff>
      <xdr:row>27</xdr:row>
      <xdr:rowOff>107500</xdr:rowOff>
    </xdr:to>
    <xdr:pic>
      <xdr:nvPicPr>
        <xdr:cNvPr id="51" name="Imagen 50" descr="El estado de los derechos de la mujer en el mundo en 8 gráficos">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5671600" y="18249900"/>
          <a:ext cx="15201900" cy="770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83</xdr:row>
      <xdr:rowOff>0</xdr:rowOff>
    </xdr:from>
    <xdr:to>
      <xdr:col>14</xdr:col>
      <xdr:colOff>304800</xdr:colOff>
      <xdr:row>83</xdr:row>
      <xdr:rowOff>304800</xdr:rowOff>
    </xdr:to>
    <xdr:sp macro="" textlink="">
      <xdr:nvSpPr>
        <xdr:cNvPr id="56" name="AutoShape 1" descr="Gráfico">
          <a:extLst>
            <a:ext uri="{FF2B5EF4-FFF2-40B4-BE49-F238E27FC236}">
              <a16:creationId xmlns:a16="http://schemas.microsoft.com/office/drawing/2014/main" id="{00000000-0008-0000-0600-000038000000}"/>
            </a:ext>
          </a:extLst>
        </xdr:cNvPr>
        <xdr:cNvSpPr>
          <a:spLocks noChangeAspect="1" noChangeArrowheads="1"/>
        </xdr:cNvSpPr>
      </xdr:nvSpPr>
      <xdr:spPr bwMode="auto">
        <a:xfrm>
          <a:off x="49329975" y="7171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60</xdr:col>
      <xdr:colOff>271736</xdr:colOff>
      <xdr:row>41</xdr:row>
      <xdr:rowOff>1333500</xdr:rowOff>
    </xdr:from>
    <xdr:to>
      <xdr:col>77</xdr:col>
      <xdr:colOff>19049</xdr:colOff>
      <xdr:row>59</xdr:row>
      <xdr:rowOff>289786</xdr:rowOff>
    </xdr:to>
    <xdr:pic>
      <xdr:nvPicPr>
        <xdr:cNvPr id="57" name="Imagen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29"/>
        <a:stretch>
          <a:fillRect/>
        </a:stretch>
      </xdr:blipFill>
      <xdr:spPr>
        <a:xfrm>
          <a:off x="118095986" y="40290750"/>
          <a:ext cx="12701313" cy="13529536"/>
        </a:xfrm>
        <a:prstGeom prst="rect">
          <a:avLst/>
        </a:prstGeom>
      </xdr:spPr>
    </xdr:pic>
    <xdr:clientData/>
  </xdr:twoCellAnchor>
  <xdr:twoCellAnchor>
    <xdr:from>
      <xdr:col>14</xdr:col>
      <xdr:colOff>3009900</xdr:colOff>
      <xdr:row>20</xdr:row>
      <xdr:rowOff>668795</xdr:rowOff>
    </xdr:from>
    <xdr:to>
      <xdr:col>15</xdr:col>
      <xdr:colOff>2624968</xdr:colOff>
      <xdr:row>22</xdr:row>
      <xdr:rowOff>1562100</xdr:rowOff>
    </xdr:to>
    <xdr:pic>
      <xdr:nvPicPr>
        <xdr:cNvPr id="58" name="Imagen 57" descr="Relación entre hombre y mujer en el trabajo Igualdad entre ...">
          <a:extLst>
            <a:ext uri="{FF2B5EF4-FFF2-40B4-BE49-F238E27FC236}">
              <a16:creationId xmlns:a16="http://schemas.microsoft.com/office/drawing/2014/main" id="{00000000-0008-0000-0600-00003A000000}"/>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8188" t="12641" r="8187" b="7581"/>
        <a:stretch/>
      </xdr:blipFill>
      <xdr:spPr bwMode="auto">
        <a:xfrm>
          <a:off x="52997100" y="19032995"/>
          <a:ext cx="7920868" cy="4893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2743200</xdr:colOff>
      <xdr:row>16</xdr:row>
      <xdr:rowOff>114300</xdr:rowOff>
    </xdr:from>
    <xdr:to>
      <xdr:col>12</xdr:col>
      <xdr:colOff>1333500</xdr:colOff>
      <xdr:row>23</xdr:row>
      <xdr:rowOff>762000</xdr:rowOff>
    </xdr:to>
    <xdr:graphicFrame macro="">
      <xdr:nvGraphicFramePr>
        <xdr:cNvPr id="64" name="Gráfico 6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37</xdr:row>
      <xdr:rowOff>152400</xdr:rowOff>
    </xdr:from>
    <xdr:to>
      <xdr:col>13</xdr:col>
      <xdr:colOff>0</xdr:colOff>
      <xdr:row>37</xdr:row>
      <xdr:rowOff>1371600</xdr:rowOff>
    </xdr:to>
    <xdr:sp macro="" textlink="">
      <xdr:nvSpPr>
        <xdr:cNvPr id="65" name="Rectángulo redondeado 64">
          <a:extLst>
            <a:ext uri="{FF2B5EF4-FFF2-40B4-BE49-F238E27FC236}">
              <a16:creationId xmlns:a16="http://schemas.microsoft.com/office/drawing/2014/main" id="{00000000-0008-0000-0900-00002D000000}"/>
            </a:ext>
          </a:extLst>
        </xdr:cNvPr>
        <xdr:cNvSpPr/>
      </xdr:nvSpPr>
      <xdr:spPr>
        <a:xfrm>
          <a:off x="0" y="40309800"/>
          <a:ext cx="46558200" cy="1219200"/>
        </a:xfrm>
        <a:prstGeom prst="roundRect">
          <a:avLst/>
        </a:prstGeom>
        <a:solidFill>
          <a:srgbClr val="00A94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de Vejez Discapacidad y Sobrevivencia</a:t>
          </a:r>
          <a:r>
            <a:rPr lang="es-DO" sz="5400" b="1" baseline="0">
              <a:latin typeface="Arial" panose="020B0604020202020204" pitchFamily="34" charset="0"/>
              <a:cs typeface="Arial" panose="020B0604020202020204" pitchFamily="34" charset="0"/>
            </a:rPr>
            <a:t> (SVDS)</a:t>
          </a:r>
          <a:endParaRPr lang="es-DO" sz="5400" b="1">
            <a:latin typeface="Arial" panose="020B0604020202020204" pitchFamily="34" charset="0"/>
            <a:cs typeface="Arial" panose="020B0604020202020204" pitchFamily="34" charset="0"/>
          </a:endParaRPr>
        </a:p>
      </xdr:txBody>
    </xdr:sp>
    <xdr:clientData/>
  </xdr:twoCellAnchor>
  <xdr:twoCellAnchor>
    <xdr:from>
      <xdr:col>0</xdr:col>
      <xdr:colOff>76200</xdr:colOff>
      <xdr:row>76</xdr:row>
      <xdr:rowOff>114300</xdr:rowOff>
    </xdr:from>
    <xdr:to>
      <xdr:col>13</xdr:col>
      <xdr:colOff>114300</xdr:colOff>
      <xdr:row>77</xdr:row>
      <xdr:rowOff>609600</xdr:rowOff>
    </xdr:to>
    <xdr:sp macro="" textlink="">
      <xdr:nvSpPr>
        <xdr:cNvPr id="80" name="Rectángulo redondeado 79">
          <a:extLst>
            <a:ext uri="{FF2B5EF4-FFF2-40B4-BE49-F238E27FC236}">
              <a16:creationId xmlns:a16="http://schemas.microsoft.com/office/drawing/2014/main" id="{00000000-0008-0000-0900-00002D000000}"/>
            </a:ext>
          </a:extLst>
        </xdr:cNvPr>
        <xdr:cNvSpPr/>
      </xdr:nvSpPr>
      <xdr:spPr>
        <a:xfrm>
          <a:off x="76200" y="77304900"/>
          <a:ext cx="47205900" cy="1066800"/>
        </a:xfrm>
        <a:prstGeom prst="roundRect">
          <a:avLst/>
        </a:prstGeom>
        <a:solidFill>
          <a:srgbClr val="0053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de Riesgos Laborales (SRL)</a:t>
          </a:r>
        </a:p>
      </xdr:txBody>
    </xdr:sp>
    <xdr:clientData/>
  </xdr:twoCellAnchor>
  <xdr:twoCellAnchor editAs="oneCell">
    <xdr:from>
      <xdr:col>15</xdr:col>
      <xdr:colOff>76200</xdr:colOff>
      <xdr:row>86</xdr:row>
      <xdr:rowOff>0</xdr:rowOff>
    </xdr:from>
    <xdr:to>
      <xdr:col>15</xdr:col>
      <xdr:colOff>1585506</xdr:colOff>
      <xdr:row>90</xdr:row>
      <xdr:rowOff>533400</xdr:rowOff>
    </xdr:to>
    <xdr:pic>
      <xdr:nvPicPr>
        <xdr:cNvPr id="85" name="Imagen 84">
          <a:extLst>
            <a:ext uri="{FF2B5EF4-FFF2-40B4-BE49-F238E27FC236}">
              <a16:creationId xmlns:a16="http://schemas.microsoft.com/office/drawing/2014/main" id="{00000000-0008-0000-0600-000055000000}"/>
            </a:ext>
          </a:extLst>
        </xdr:cNvPr>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r="49212"/>
        <a:stretch/>
      </xdr:blipFill>
      <xdr:spPr>
        <a:xfrm>
          <a:off x="60312300" y="94792800"/>
          <a:ext cx="1509306" cy="2971800"/>
        </a:xfrm>
        <a:prstGeom prst="rect">
          <a:avLst/>
        </a:prstGeom>
      </xdr:spPr>
    </xdr:pic>
    <xdr:clientData/>
  </xdr:twoCellAnchor>
  <xdr:twoCellAnchor editAs="oneCell">
    <xdr:from>
      <xdr:col>15</xdr:col>
      <xdr:colOff>414301</xdr:colOff>
      <xdr:row>36</xdr:row>
      <xdr:rowOff>0</xdr:rowOff>
    </xdr:from>
    <xdr:to>
      <xdr:col>15</xdr:col>
      <xdr:colOff>2819401</xdr:colOff>
      <xdr:row>37</xdr:row>
      <xdr:rowOff>1795500</xdr:rowOff>
    </xdr:to>
    <xdr:pic>
      <xdr:nvPicPr>
        <xdr:cNvPr id="89" name="Imagen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0650401" y="33947100"/>
          <a:ext cx="2405100" cy="2405100"/>
        </a:xfrm>
        <a:prstGeom prst="rect">
          <a:avLst/>
        </a:prstGeom>
      </xdr:spPr>
    </xdr:pic>
    <xdr:clientData/>
  </xdr:twoCellAnchor>
  <xdr:twoCellAnchor editAs="oneCell">
    <xdr:from>
      <xdr:col>13</xdr:col>
      <xdr:colOff>450000</xdr:colOff>
      <xdr:row>37</xdr:row>
      <xdr:rowOff>450000</xdr:rowOff>
    </xdr:from>
    <xdr:to>
      <xdr:col>13</xdr:col>
      <xdr:colOff>754802</xdr:colOff>
      <xdr:row>37</xdr:row>
      <xdr:rowOff>754802</xdr:rowOff>
    </xdr:to>
    <xdr:pic>
      <xdr:nvPicPr>
        <xdr:cNvPr id="90" name="Imagen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7008200" y="39731100"/>
          <a:ext cx="304802" cy="304802"/>
        </a:xfrm>
        <a:prstGeom prst="rect">
          <a:avLst/>
        </a:prstGeom>
      </xdr:spPr>
    </xdr:pic>
    <xdr:clientData/>
  </xdr:twoCellAnchor>
  <xdr:twoCellAnchor editAs="oneCell">
    <xdr:from>
      <xdr:col>41</xdr:col>
      <xdr:colOff>54750</xdr:colOff>
      <xdr:row>41</xdr:row>
      <xdr:rowOff>0</xdr:rowOff>
    </xdr:from>
    <xdr:to>
      <xdr:col>51</xdr:col>
      <xdr:colOff>245250</xdr:colOff>
      <xdr:row>51</xdr:row>
      <xdr:rowOff>152400</xdr:rowOff>
    </xdr:to>
    <xdr:pic>
      <xdr:nvPicPr>
        <xdr:cNvPr id="96" name="Imagen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03401000" y="36268800"/>
          <a:ext cx="7810500" cy="7677150"/>
        </a:xfrm>
        <a:prstGeom prst="rect">
          <a:avLst/>
        </a:prstGeom>
      </xdr:spPr>
    </xdr:pic>
    <xdr:clientData/>
  </xdr:twoCellAnchor>
  <xdr:twoCellAnchor>
    <xdr:from>
      <xdr:col>3</xdr:col>
      <xdr:colOff>419100</xdr:colOff>
      <xdr:row>5</xdr:row>
      <xdr:rowOff>609601</xdr:rowOff>
    </xdr:from>
    <xdr:to>
      <xdr:col>5</xdr:col>
      <xdr:colOff>3162300</xdr:colOff>
      <xdr:row>13</xdr:row>
      <xdr:rowOff>228601</xdr:rowOff>
    </xdr:to>
    <xdr:grpSp>
      <xdr:nvGrpSpPr>
        <xdr:cNvPr id="23" name="Grupo 22">
          <a:extLst>
            <a:ext uri="{FF2B5EF4-FFF2-40B4-BE49-F238E27FC236}">
              <a16:creationId xmlns:a16="http://schemas.microsoft.com/office/drawing/2014/main" id="{00000000-0008-0000-0600-000017000000}"/>
            </a:ext>
          </a:extLst>
        </xdr:cNvPr>
        <xdr:cNvGrpSpPr/>
      </xdr:nvGrpSpPr>
      <xdr:grpSpPr>
        <a:xfrm>
          <a:off x="9134475" y="6848476"/>
          <a:ext cx="9810750" cy="8582025"/>
          <a:chOff x="10668000" y="7467601"/>
          <a:chExt cx="8229600" cy="7145373"/>
        </a:xfrm>
      </xdr:grpSpPr>
      <xdr:pic>
        <xdr:nvPicPr>
          <xdr:cNvPr id="63" name="Imagen 62" descr="Hombre Y Mujer, Línea Concepto Del Icono Hombre Y Mujer, Símbolo Plano Del  Vector, Muestra, Ejemplo Del Esquema Ilustración del Vector - Ilustración  de lazo, mujer: 143154985">
            <a:extLst>
              <a:ext uri="{FF2B5EF4-FFF2-40B4-BE49-F238E27FC236}">
                <a16:creationId xmlns:a16="http://schemas.microsoft.com/office/drawing/2014/main" id="{00000000-0008-0000-0600-00003F000000}"/>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21812" t="27924" r="46861" b="27203"/>
          <a:stretch/>
        </xdr:blipFill>
        <xdr:spPr bwMode="auto">
          <a:xfrm>
            <a:off x="10668000" y="9182099"/>
            <a:ext cx="3962400" cy="5430875"/>
          </a:xfrm>
          <a:prstGeom prst="rect">
            <a:avLst/>
          </a:prstGeom>
          <a:noFill/>
          <a:extLst>
            <a:ext uri="{909E8E84-426E-40DD-AFC4-6F175D3DCCD1}">
              <a14:hiddenFill xmlns:a14="http://schemas.microsoft.com/office/drawing/2010/main">
                <a:solidFill>
                  <a:srgbClr val="FFFFFF"/>
                </a:solidFill>
              </a14:hiddenFill>
            </a:ext>
          </a:extLst>
        </xdr:spPr>
      </xdr:pic>
      <xdr:sp macro="" textlink="$T$32">
        <xdr:nvSpPr>
          <xdr:cNvPr id="67" name="CuadroTexto 66">
            <a:extLst>
              <a:ext uri="{FF2B5EF4-FFF2-40B4-BE49-F238E27FC236}">
                <a16:creationId xmlns:a16="http://schemas.microsoft.com/office/drawing/2014/main" id="{00000000-0008-0000-0600-000043000000}"/>
              </a:ext>
            </a:extLst>
          </xdr:cNvPr>
          <xdr:cNvSpPr txBox="1"/>
        </xdr:nvSpPr>
        <xdr:spPr>
          <a:xfrm>
            <a:off x="15544800" y="7505701"/>
            <a:ext cx="3352800" cy="12191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0D5AD4D-B700-47BC-9778-FBF0A7E0A2BA}" type="TxLink">
              <a:rPr lang="en-US" sz="8000" b="1" i="0" u="none" strike="noStrike">
                <a:solidFill>
                  <a:srgbClr val="00A94F"/>
                </a:solidFill>
                <a:latin typeface="Arial Narrow"/>
                <a:cs typeface="Arial" panose="020B0604020202020204" pitchFamily="34" charset="0"/>
              </a:rPr>
              <a:pPr algn="ctr"/>
              <a:t>50.3%</a:t>
            </a:fld>
            <a:endParaRPr lang="es-DO" sz="59500" b="1">
              <a:solidFill>
                <a:srgbClr val="00A94F"/>
              </a:solidFill>
              <a:latin typeface="Arial" panose="020B0604020202020204" pitchFamily="34" charset="0"/>
              <a:cs typeface="Arial" panose="020B0604020202020204" pitchFamily="34" charset="0"/>
            </a:endParaRPr>
          </a:p>
        </xdr:txBody>
      </xdr:sp>
      <xdr:sp macro="" textlink="$T$31">
        <xdr:nvSpPr>
          <xdr:cNvPr id="68" name="CuadroTexto 67">
            <a:extLst>
              <a:ext uri="{FF2B5EF4-FFF2-40B4-BE49-F238E27FC236}">
                <a16:creationId xmlns:a16="http://schemas.microsoft.com/office/drawing/2014/main" id="{00000000-0008-0000-0600-000044000000}"/>
              </a:ext>
            </a:extLst>
          </xdr:cNvPr>
          <xdr:cNvSpPr txBox="1"/>
        </xdr:nvSpPr>
        <xdr:spPr>
          <a:xfrm>
            <a:off x="11163300" y="7467601"/>
            <a:ext cx="3086100" cy="1447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92AC0EF-EC71-4CF0-A25A-0AA51F9B9761}" type="TxLink">
              <a:rPr lang="en-US" sz="8000" b="1" i="0" u="none" strike="noStrike">
                <a:solidFill>
                  <a:srgbClr val="00539B"/>
                </a:solidFill>
                <a:latin typeface="Arial Narrow"/>
                <a:cs typeface="Arial" panose="020B0604020202020204" pitchFamily="34" charset="0"/>
              </a:rPr>
              <a:pPr algn="ctr"/>
              <a:t>49.7%</a:t>
            </a:fld>
            <a:endParaRPr lang="es-DO" sz="8000" b="1">
              <a:solidFill>
                <a:srgbClr val="00539B"/>
              </a:solidFill>
              <a:latin typeface="Arial" panose="020B0604020202020204" pitchFamily="34" charset="0"/>
              <a:cs typeface="Arial" panose="020B0604020202020204" pitchFamily="34" charset="0"/>
            </a:endParaRPr>
          </a:p>
        </xdr:txBody>
      </xdr:sp>
      <xdr:pic>
        <xdr:nvPicPr>
          <xdr:cNvPr id="69" name="Imagen 68" descr="Hombre Y Mujer, Línea Concepto Del Icono Hombre Y Mujer, Símbolo Plano Del  Vector, Muestra, Ejemplo Del Esquema Ilustración del Vector - Ilustración  de lazo, mujer: 143154985">
            <a:extLst>
              <a:ext uri="{FF2B5EF4-FFF2-40B4-BE49-F238E27FC236}">
                <a16:creationId xmlns:a16="http://schemas.microsoft.com/office/drawing/2014/main" id="{00000000-0008-0000-0600-000045000000}"/>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52638" t="27138" r="22050" b="27203"/>
          <a:stretch/>
        </xdr:blipFill>
        <xdr:spPr bwMode="auto">
          <a:xfrm>
            <a:off x="15544800" y="9144000"/>
            <a:ext cx="3238500" cy="545811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7.xml><?xml version="1.0" encoding="utf-8"?>
<c:userShapes xmlns:c="http://schemas.openxmlformats.org/drawingml/2006/chart">
  <cdr:relSizeAnchor xmlns:cdr="http://schemas.openxmlformats.org/drawingml/2006/chartDrawing">
    <cdr:from>
      <cdr:x>0.00601</cdr:x>
      <cdr:y>0.88446</cdr:y>
    </cdr:from>
    <cdr:to>
      <cdr:x>0.9526</cdr:x>
      <cdr:y>1</cdr:y>
    </cdr:to>
    <cdr:sp macro="" textlink="">
      <cdr:nvSpPr>
        <cdr:cNvPr id="2" name="CuadroTexto 1"/>
        <cdr:cNvSpPr txBox="1"/>
      </cdr:nvSpPr>
      <cdr:spPr>
        <a:xfrm xmlns:a="http://schemas.openxmlformats.org/drawingml/2006/main">
          <a:off x="119995" y="8458201"/>
          <a:ext cx="18898101" cy="11048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SISALRIL/CNSS</a:t>
          </a:r>
        </a:p>
        <a:p xmlns:a="http://schemas.openxmlformats.org/drawingml/2006/main">
          <a:r>
            <a:rPr lang="en-US" sz="3200" b="1">
              <a:latin typeface="Arial" panose="020B0604020202020204" pitchFamily="34" charset="0"/>
              <a:cs typeface="Arial" panose="020B0604020202020204" pitchFamily="34" charset="0"/>
            </a:rPr>
            <a:t>Indice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28.xml><?xml version="1.0" encoding="utf-8"?>
<c:userShapes xmlns:c="http://schemas.openxmlformats.org/drawingml/2006/chart">
  <cdr:relSizeAnchor xmlns:cdr="http://schemas.openxmlformats.org/drawingml/2006/chartDrawing">
    <cdr:from>
      <cdr:x>0.11888</cdr:x>
      <cdr:y>0.91588</cdr:y>
    </cdr:from>
    <cdr:to>
      <cdr:x>0.40944</cdr:x>
      <cdr:y>0.95773</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879600" y="11061700"/>
          <a:ext cx="4594187" cy="5054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0.03779</cdr:x>
      <cdr:y>0.90226</cdr:y>
    </cdr:from>
    <cdr:to>
      <cdr:x>0.45886</cdr:x>
      <cdr:y>0.96454</cdr:y>
    </cdr:to>
    <cdr:sp macro="" textlink="">
      <cdr:nvSpPr>
        <cdr:cNvPr id="2" name="CuadroTexto 1"/>
        <cdr:cNvSpPr txBox="1"/>
      </cdr:nvSpPr>
      <cdr:spPr>
        <a:xfrm xmlns:a="http://schemas.openxmlformats.org/drawingml/2006/main">
          <a:off x="767413" y="9694051"/>
          <a:ext cx="8550795" cy="669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26</xdr:row>
      <xdr:rowOff>257175</xdr:rowOff>
    </xdr:from>
    <xdr:to>
      <xdr:col>6</xdr:col>
      <xdr:colOff>1714500</xdr:colOff>
      <xdr:row>58</xdr:row>
      <xdr:rowOff>152400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38101</xdr:colOff>
      <xdr:row>59</xdr:row>
      <xdr:rowOff>1790700</xdr:rowOff>
    </xdr:from>
    <xdr:to>
      <xdr:col>5</xdr:col>
      <xdr:colOff>5562600</xdr:colOff>
      <xdr:row>89</xdr:row>
      <xdr:rowOff>990600</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2933700</xdr:colOff>
      <xdr:row>95</xdr:row>
      <xdr:rowOff>38100</xdr:rowOff>
    </xdr:from>
    <xdr:to>
      <xdr:col>12</xdr:col>
      <xdr:colOff>1295400</xdr:colOff>
      <xdr:row>121</xdr:row>
      <xdr:rowOff>228600</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719138</xdr:colOff>
      <xdr:row>0</xdr:row>
      <xdr:rowOff>414338</xdr:rowOff>
    </xdr:from>
    <xdr:to>
      <xdr:col>2</xdr:col>
      <xdr:colOff>1181100</xdr:colOff>
      <xdr:row>0</xdr:row>
      <xdr:rowOff>3281840</xdr:rowOff>
    </xdr:to>
    <xdr:pic>
      <xdr:nvPicPr>
        <xdr:cNvPr id="26" name="Imagen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9138" y="414338"/>
          <a:ext cx="4691062" cy="2867502"/>
        </a:xfrm>
        <a:prstGeom prst="rect">
          <a:avLst/>
        </a:prstGeom>
      </xdr:spPr>
    </xdr:pic>
    <xdr:clientData/>
  </xdr:twoCellAnchor>
  <xdr:twoCellAnchor>
    <xdr:from>
      <xdr:col>6</xdr:col>
      <xdr:colOff>1028700</xdr:colOff>
      <xdr:row>220</xdr:row>
      <xdr:rowOff>76200</xdr:rowOff>
    </xdr:from>
    <xdr:to>
      <xdr:col>12</xdr:col>
      <xdr:colOff>1219201</xdr:colOff>
      <xdr:row>255</xdr:row>
      <xdr:rowOff>114300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1257300</xdr:colOff>
      <xdr:row>261</xdr:row>
      <xdr:rowOff>876300</xdr:rowOff>
    </xdr:from>
    <xdr:to>
      <xdr:col>12</xdr:col>
      <xdr:colOff>1371600</xdr:colOff>
      <xdr:row>273</xdr:row>
      <xdr:rowOff>3200400</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262</xdr:row>
      <xdr:rowOff>152400</xdr:rowOff>
    </xdr:from>
    <xdr:to>
      <xdr:col>6</xdr:col>
      <xdr:colOff>304800</xdr:colOff>
      <xdr:row>273</xdr:row>
      <xdr:rowOff>3238500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6934200</xdr:colOff>
      <xdr:row>129</xdr:row>
      <xdr:rowOff>190500</xdr:rowOff>
    </xdr:from>
    <xdr:to>
      <xdr:col>12</xdr:col>
      <xdr:colOff>1104900</xdr:colOff>
      <xdr:row>167</xdr:row>
      <xdr:rowOff>0</xdr:rowOff>
    </xdr:to>
    <xdr:grpSp>
      <xdr:nvGrpSpPr>
        <xdr:cNvPr id="63" name="Grupo 62">
          <a:extLst>
            <a:ext uri="{FF2B5EF4-FFF2-40B4-BE49-F238E27FC236}">
              <a16:creationId xmlns:a16="http://schemas.microsoft.com/office/drawing/2014/main" id="{00000000-0008-0000-0500-00003F000000}"/>
            </a:ext>
          </a:extLst>
        </xdr:cNvPr>
        <xdr:cNvGrpSpPr/>
      </xdr:nvGrpSpPr>
      <xdr:grpSpPr>
        <a:xfrm>
          <a:off x="27746325" y="69027675"/>
          <a:ext cx="18669000" cy="15182850"/>
          <a:chOff x="17232622" y="10869706"/>
          <a:chExt cx="3599491" cy="3106415"/>
        </a:xfrm>
      </xdr:grpSpPr>
      <xdr:grpSp>
        <xdr:nvGrpSpPr>
          <xdr:cNvPr id="64" name="Group 3">
            <a:extLst>
              <a:ext uri="{FF2B5EF4-FFF2-40B4-BE49-F238E27FC236}">
                <a16:creationId xmlns:a16="http://schemas.microsoft.com/office/drawing/2014/main" id="{00000000-0008-0000-0500-000040000000}"/>
              </a:ext>
            </a:extLst>
          </xdr:cNvPr>
          <xdr:cNvGrpSpPr>
            <a:grpSpLocks noChangeAspect="1"/>
          </xdr:cNvGrpSpPr>
        </xdr:nvGrpSpPr>
        <xdr:grpSpPr>
          <a:xfrm>
            <a:off x="17232622" y="10869706"/>
            <a:ext cx="3599491" cy="3106415"/>
            <a:chOff x="388300" y="1049407"/>
            <a:chExt cx="4034921" cy="3331849"/>
          </a:xfrm>
        </xdr:grpSpPr>
        <xdr:sp macro="" textlink="">
          <xdr:nvSpPr>
            <xdr:cNvPr id="68" name="Freeform: Shape 3167">
              <a:extLst>
                <a:ext uri="{FF2B5EF4-FFF2-40B4-BE49-F238E27FC236}">
                  <a16:creationId xmlns:a16="http://schemas.microsoft.com/office/drawing/2014/main" id="{00000000-0008-0000-0500-000044000000}"/>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00539B"/>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69" name="Freeform: Shape 3165">
              <a:extLst>
                <a:ext uri="{FF2B5EF4-FFF2-40B4-BE49-F238E27FC236}">
                  <a16:creationId xmlns:a16="http://schemas.microsoft.com/office/drawing/2014/main" id="{00000000-0008-0000-0500-000045000000}"/>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00A94F"/>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5400">
                <a:solidFill>
                  <a:sysClr val="window" lastClr="FFFFFF"/>
                </a:solidFill>
                <a:latin typeface="Arial" panose="020B0604020202020204" pitchFamily="34" charset="0"/>
                <a:cs typeface="Arial" panose="020B0604020202020204" pitchFamily="34" charset="0"/>
              </a:endParaRPr>
            </a:p>
          </xdr:txBody>
        </xdr:sp>
        <xdr:sp macro="" textlink="">
          <xdr:nvSpPr>
            <xdr:cNvPr id="70" name="Freeform: Shape 3159">
              <a:extLst>
                <a:ext uri="{FF2B5EF4-FFF2-40B4-BE49-F238E27FC236}">
                  <a16:creationId xmlns:a16="http://schemas.microsoft.com/office/drawing/2014/main" id="{00000000-0008-0000-0500-000046000000}"/>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00539B"/>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1" name="Freeform: Shape 22">
              <a:extLst>
                <a:ext uri="{FF2B5EF4-FFF2-40B4-BE49-F238E27FC236}">
                  <a16:creationId xmlns:a16="http://schemas.microsoft.com/office/drawing/2014/main" id="{00000000-0008-0000-0500-000047000000}"/>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2" name="Freeform: Shape 24">
              <a:extLst>
                <a:ext uri="{FF2B5EF4-FFF2-40B4-BE49-F238E27FC236}">
                  <a16:creationId xmlns:a16="http://schemas.microsoft.com/office/drawing/2014/main" id="{00000000-0008-0000-0500-00004800000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00539B"/>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3" name="Freeform: Shape 3072">
              <a:extLst>
                <a:ext uri="{FF2B5EF4-FFF2-40B4-BE49-F238E27FC236}">
                  <a16:creationId xmlns:a16="http://schemas.microsoft.com/office/drawing/2014/main" id="{00000000-0008-0000-0500-000049000000}"/>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chemeClr val="accent3">
                <a:lumMod val="50000"/>
              </a:scheme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4" name="Freeform: Shape 3075">
              <a:extLst>
                <a:ext uri="{FF2B5EF4-FFF2-40B4-BE49-F238E27FC236}">
                  <a16:creationId xmlns:a16="http://schemas.microsoft.com/office/drawing/2014/main" id="{00000000-0008-0000-0500-00004A000000}"/>
                </a:ext>
              </a:extLst>
            </xdr:cNvPr>
            <xdr:cNvSpPr/>
          </xdr:nvSpPr>
          <xdr:spPr>
            <a:xfrm flipH="1">
              <a:off x="480977" y="2255520"/>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00A94F"/>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5" name="Freeform: Shape 3091">
              <a:extLst>
                <a:ext uri="{FF2B5EF4-FFF2-40B4-BE49-F238E27FC236}">
                  <a16:creationId xmlns:a16="http://schemas.microsoft.com/office/drawing/2014/main" id="{00000000-0008-0000-0500-00004B000000}"/>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6" name="Freeform: Shape 3093">
              <a:extLst>
                <a:ext uri="{FF2B5EF4-FFF2-40B4-BE49-F238E27FC236}">
                  <a16:creationId xmlns:a16="http://schemas.microsoft.com/office/drawing/2014/main" id="{00000000-0008-0000-0500-00004C000000}"/>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00539B"/>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7" name="TextBox 6">
              <a:extLst>
                <a:ext uri="{FF2B5EF4-FFF2-40B4-BE49-F238E27FC236}">
                  <a16:creationId xmlns:a16="http://schemas.microsoft.com/office/drawing/2014/main" id="{00000000-0008-0000-0500-00004D000000}"/>
                </a:ext>
              </a:extLst>
            </xdr:cNvPr>
            <xdr:cNvSpPr txBox="1"/>
          </xdr:nvSpPr>
          <xdr:spPr>
            <a:xfrm>
              <a:off x="1370666" y="1293729"/>
              <a:ext cx="1751886" cy="552136"/>
            </a:xfrm>
            <a:prstGeom prst="rect">
              <a:avLst/>
            </a:prstGeom>
            <a:noFill/>
          </xdr:spPr>
          <xdr:txBody>
            <a:bodyPr wrap="square" anchor="ctr">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discapacidad</a:t>
              </a:r>
            </a:p>
          </xdr:txBody>
        </xdr:sp>
        <xdr:sp macro="" textlink="">
          <xdr:nvSpPr>
            <xdr:cNvPr id="78" name="TextBox 7">
              <a:extLst>
                <a:ext uri="{FF2B5EF4-FFF2-40B4-BE49-F238E27FC236}">
                  <a16:creationId xmlns:a16="http://schemas.microsoft.com/office/drawing/2014/main" id="{00000000-0008-0000-0500-00004E000000}"/>
                </a:ext>
              </a:extLst>
            </xdr:cNvPr>
            <xdr:cNvSpPr txBox="1"/>
          </xdr:nvSpPr>
          <xdr:spPr>
            <a:xfrm>
              <a:off x="1676202" y="2553594"/>
              <a:ext cx="1494802"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a:t>
              </a:r>
            </a:p>
            <a:p>
              <a:pPr algn="ctr"/>
              <a:r>
                <a:rPr lang="es-419" sz="4800" b="1">
                  <a:solidFill>
                    <a:sysClr val="window" lastClr="FFFFFF"/>
                  </a:solidFill>
                  <a:latin typeface="Arial" panose="020B0604020202020204" pitchFamily="34" charset="0"/>
                  <a:cs typeface="Arial" panose="020B0604020202020204" pitchFamily="34" charset="0"/>
                </a:rPr>
                <a:t>sobrevivencia</a:t>
              </a:r>
            </a:p>
          </xdr:txBody>
        </xdr:sp>
        <xdr:sp macro="" textlink="">
          <xdr:nvSpPr>
            <xdr:cNvPr id="79" name="TextBox 10">
              <a:extLst>
                <a:ext uri="{FF2B5EF4-FFF2-40B4-BE49-F238E27FC236}">
                  <a16:creationId xmlns:a16="http://schemas.microsoft.com/office/drawing/2014/main" id="{00000000-0008-0000-0500-00004F000000}"/>
                </a:ext>
              </a:extLst>
            </xdr:cNvPr>
            <xdr:cNvSpPr txBox="1"/>
          </xdr:nvSpPr>
          <xdr:spPr>
            <a:xfrm>
              <a:off x="1290581" y="3674525"/>
              <a:ext cx="1868119"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retiro</a:t>
              </a:r>
            </a:p>
            <a:p>
              <a:pPr algn="ctr"/>
              <a:r>
                <a:rPr lang="es-419" sz="4800" b="1">
                  <a:solidFill>
                    <a:sysClr val="window" lastClr="FFFFFF"/>
                  </a:solidFill>
                  <a:latin typeface="Arial" panose="020B0604020202020204" pitchFamily="34" charset="0"/>
                  <a:cs typeface="Arial" panose="020B0604020202020204" pitchFamily="34" charset="0"/>
                </a:rPr>
                <a:t> programado</a:t>
              </a:r>
            </a:p>
          </xdr:txBody>
        </xdr:sp>
        <xdr:sp macro="" textlink="">
          <xdr:nvSpPr>
            <xdr:cNvPr id="80" name="TextBox 3176">
              <a:extLst>
                <a:ext uri="{FF2B5EF4-FFF2-40B4-BE49-F238E27FC236}">
                  <a16:creationId xmlns:a16="http://schemas.microsoft.com/office/drawing/2014/main" id="{00000000-0008-0000-0500-000050000000}"/>
                </a:ext>
              </a:extLst>
            </xdr:cNvPr>
            <xdr:cNvSpPr txBox="1"/>
          </xdr:nvSpPr>
          <xdr:spPr>
            <a:xfrm>
              <a:off x="3454497" y="1463122"/>
              <a:ext cx="861013" cy="258784"/>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17,322</a:t>
              </a:r>
            </a:p>
          </xdr:txBody>
        </xdr:sp>
      </xdr:grpSp>
      <xdr:pic>
        <xdr:nvPicPr>
          <xdr:cNvPr id="65" name="Google Shape;196;p4" descr="Silla de ruedas nueva">
            <a:extLst>
              <a:ext uri="{FF2B5EF4-FFF2-40B4-BE49-F238E27FC236}">
                <a16:creationId xmlns:a16="http://schemas.microsoft.com/office/drawing/2014/main" id="{00000000-0008-0000-0500-000041000000}"/>
              </a:ext>
            </a:extLst>
          </xdr:cNvPr>
          <xdr:cNvPicPr preferRelativeResize="0"/>
        </xdr:nvPicPr>
        <xdr:blipFill rotWithShape="1">
          <a:blip xmlns:r="http://schemas.openxmlformats.org/officeDocument/2006/relationships" r:embed="rId8">
            <a:alphaModFix/>
            <a:biLevel thresh="25000"/>
          </a:blip>
          <a:srcRect/>
          <a:stretch/>
        </xdr:blipFill>
        <xdr:spPr>
          <a:xfrm>
            <a:off x="17543610" y="11015382"/>
            <a:ext cx="661147" cy="695566"/>
          </a:xfrm>
          <a:prstGeom prst="rect">
            <a:avLst/>
          </a:prstGeom>
          <a:noFill/>
          <a:ln>
            <a:noFill/>
          </a:ln>
        </xdr:spPr>
      </xdr:pic>
      <xdr:pic>
        <xdr:nvPicPr>
          <xdr:cNvPr id="66" name="Google Shape;199;p4" descr="Familia con niña">
            <a:extLst>
              <a:ext uri="{FF2B5EF4-FFF2-40B4-BE49-F238E27FC236}">
                <a16:creationId xmlns:a16="http://schemas.microsoft.com/office/drawing/2014/main" id="{00000000-0008-0000-0500-000042000000}"/>
              </a:ext>
            </a:extLst>
          </xdr:cNvPr>
          <xdr:cNvPicPr preferRelativeResize="0"/>
        </xdr:nvPicPr>
        <xdr:blipFill rotWithShape="1">
          <a:blip xmlns:r="http://schemas.openxmlformats.org/officeDocument/2006/relationships" r:embed="rId9">
            <a:alphaModFix/>
            <a:biLevel thresh="25000"/>
          </a:blip>
          <a:srcRect/>
          <a:stretch/>
        </xdr:blipFill>
        <xdr:spPr>
          <a:xfrm>
            <a:off x="19819373" y="12054312"/>
            <a:ext cx="766098" cy="744980"/>
          </a:xfrm>
          <a:prstGeom prst="rect">
            <a:avLst/>
          </a:prstGeom>
          <a:noFill/>
          <a:ln>
            <a:noFill/>
          </a:ln>
        </xdr:spPr>
      </xdr:pic>
      <xdr:pic>
        <xdr:nvPicPr>
          <xdr:cNvPr id="67" name="Google Shape;203;p4" descr="Hombre con bastón">
            <a:extLst>
              <a:ext uri="{FF2B5EF4-FFF2-40B4-BE49-F238E27FC236}">
                <a16:creationId xmlns:a16="http://schemas.microsoft.com/office/drawing/2014/main" id="{00000000-0008-0000-0500-000043000000}"/>
              </a:ext>
            </a:extLst>
          </xdr:cNvPr>
          <xdr:cNvPicPr preferRelativeResize="0"/>
        </xdr:nvPicPr>
        <xdr:blipFill rotWithShape="1">
          <a:blip xmlns:r="http://schemas.openxmlformats.org/officeDocument/2006/relationships" r:embed="rId10">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1</xdr:col>
      <xdr:colOff>142876</xdr:colOff>
      <xdr:row>20</xdr:row>
      <xdr:rowOff>2247899</xdr:rowOff>
    </xdr:from>
    <xdr:to>
      <xdr:col>3</xdr:col>
      <xdr:colOff>0</xdr:colOff>
      <xdr:row>21</xdr:row>
      <xdr:rowOff>605526</xdr:rowOff>
    </xdr:to>
    <xdr:sp macro="" textlink="">
      <xdr:nvSpPr>
        <xdr:cNvPr id="39" name="CuadroTexto 1">
          <a:extLst>
            <a:ext uri="{FF2B5EF4-FFF2-40B4-BE49-F238E27FC236}">
              <a16:creationId xmlns:a16="http://schemas.microsoft.com/office/drawing/2014/main" id="{00000000-0008-0000-0500-000027000000}"/>
            </a:ext>
          </a:extLst>
        </xdr:cNvPr>
        <xdr:cNvSpPr txBox="1"/>
      </xdr:nvSpPr>
      <xdr:spPr>
        <a:xfrm>
          <a:off x="1476376" y="19850099"/>
          <a:ext cx="5457824" cy="64362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xdr:txBody>
    </xdr:sp>
    <xdr:clientData/>
  </xdr:twoCellAnchor>
  <xdr:twoCellAnchor>
    <xdr:from>
      <xdr:col>0</xdr:col>
      <xdr:colOff>419100</xdr:colOff>
      <xdr:row>93</xdr:row>
      <xdr:rowOff>571500</xdr:rowOff>
    </xdr:from>
    <xdr:to>
      <xdr:col>6</xdr:col>
      <xdr:colOff>2667000</xdr:colOff>
      <xdr:row>119</xdr:row>
      <xdr:rowOff>228600</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5295900</xdr:colOff>
      <xdr:row>61</xdr:row>
      <xdr:rowOff>76200</xdr:rowOff>
    </xdr:from>
    <xdr:to>
      <xdr:col>12</xdr:col>
      <xdr:colOff>838200</xdr:colOff>
      <xdr:row>91</xdr:row>
      <xdr:rowOff>0</xdr:rowOff>
    </xdr:to>
    <xdr:graphicFrame macro="">
      <xdr:nvGraphicFramePr>
        <xdr:cNvPr id="40" name="6 Gráfico">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3086100</xdr:colOff>
      <xdr:row>7</xdr:row>
      <xdr:rowOff>190500</xdr:rowOff>
    </xdr:from>
    <xdr:to>
      <xdr:col>12</xdr:col>
      <xdr:colOff>1181100</xdr:colOff>
      <xdr:row>21</xdr:row>
      <xdr:rowOff>571500</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1028700</xdr:colOff>
      <xdr:row>127</xdr:row>
      <xdr:rowOff>76200</xdr:rowOff>
    </xdr:from>
    <xdr:to>
      <xdr:col>6</xdr:col>
      <xdr:colOff>3771900</xdr:colOff>
      <xdr:row>170</xdr:row>
      <xdr:rowOff>152400</xdr:rowOff>
    </xdr:to>
    <xdr:graphicFrame macro="">
      <xdr:nvGraphicFramePr>
        <xdr:cNvPr id="44" name="3 Gráfico">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7848600</xdr:colOff>
      <xdr:row>145</xdr:row>
      <xdr:rowOff>295275</xdr:rowOff>
    </xdr:from>
    <xdr:to>
      <xdr:col>8</xdr:col>
      <xdr:colOff>606908</xdr:colOff>
      <xdr:row>149</xdr:row>
      <xdr:rowOff>295276</xdr:rowOff>
    </xdr:to>
    <xdr:sp macro="" textlink="">
      <xdr:nvSpPr>
        <xdr:cNvPr id="46" name="TextBox 3176">
          <a:extLst>
            <a:ext uri="{FF2B5EF4-FFF2-40B4-BE49-F238E27FC236}">
              <a16:creationId xmlns:a16="http://schemas.microsoft.com/office/drawing/2014/main" id="{00000000-0008-0000-0500-00002E000000}"/>
            </a:ext>
          </a:extLst>
        </xdr:cNvPr>
        <xdr:cNvSpPr txBox="1"/>
      </xdr:nvSpPr>
      <xdr:spPr>
        <a:xfrm>
          <a:off x="28689300" y="77295375"/>
          <a:ext cx="3235808" cy="12192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15,108</a:t>
          </a:r>
        </a:p>
      </xdr:txBody>
    </xdr:sp>
    <xdr:clientData/>
  </xdr:twoCellAnchor>
  <xdr:twoCellAnchor>
    <xdr:from>
      <xdr:col>10</xdr:col>
      <xdr:colOff>2857500</xdr:colOff>
      <xdr:row>157</xdr:row>
      <xdr:rowOff>104775</xdr:rowOff>
    </xdr:from>
    <xdr:to>
      <xdr:col>12</xdr:col>
      <xdr:colOff>187808</xdr:colOff>
      <xdr:row>163</xdr:row>
      <xdr:rowOff>28576</xdr:rowOff>
    </xdr:to>
    <xdr:sp macro="" textlink="">
      <xdr:nvSpPr>
        <xdr:cNvPr id="47" name="TextBox 3176">
          <a:extLst>
            <a:ext uri="{FF2B5EF4-FFF2-40B4-BE49-F238E27FC236}">
              <a16:creationId xmlns:a16="http://schemas.microsoft.com/office/drawing/2014/main" id="{00000000-0008-0000-0500-00002F000000}"/>
            </a:ext>
          </a:extLst>
        </xdr:cNvPr>
        <xdr:cNvSpPr txBox="1"/>
      </xdr:nvSpPr>
      <xdr:spPr>
        <a:xfrm>
          <a:off x="42291000" y="82667475"/>
          <a:ext cx="3235808" cy="17526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69</a:t>
          </a:r>
        </a:p>
      </xdr:txBody>
    </xdr:sp>
    <xdr:clientData/>
  </xdr:twoCellAnchor>
  <xdr:twoCellAnchor>
    <xdr:from>
      <xdr:col>6</xdr:col>
      <xdr:colOff>876300</xdr:colOff>
      <xdr:row>175</xdr:row>
      <xdr:rowOff>38100</xdr:rowOff>
    </xdr:from>
    <xdr:to>
      <xdr:col>12</xdr:col>
      <xdr:colOff>990599</xdr:colOff>
      <xdr:row>215</xdr:row>
      <xdr:rowOff>38100</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222</xdr:row>
      <xdr:rowOff>0</xdr:rowOff>
    </xdr:from>
    <xdr:to>
      <xdr:col>5</xdr:col>
      <xdr:colOff>6400800</xdr:colOff>
      <xdr:row>260</xdr:row>
      <xdr:rowOff>228600</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15</xdr:col>
      <xdr:colOff>0</xdr:colOff>
      <xdr:row>228</xdr:row>
      <xdr:rowOff>0</xdr:rowOff>
    </xdr:from>
    <xdr:to>
      <xdr:col>15</xdr:col>
      <xdr:colOff>304800</xdr:colOff>
      <xdr:row>228</xdr:row>
      <xdr:rowOff>304800</xdr:rowOff>
    </xdr:to>
    <xdr:sp macro="" textlink="">
      <xdr:nvSpPr>
        <xdr:cNvPr id="4097" name="AutoShape 1" descr="Cuál es el significado de la palabra 'OK'? ¿Por qué se usa? | Marca">
          <a:extLst>
            <a:ext uri="{FF2B5EF4-FFF2-40B4-BE49-F238E27FC236}">
              <a16:creationId xmlns:a16="http://schemas.microsoft.com/office/drawing/2014/main" id="{00000000-0008-0000-0500-000001100000}"/>
            </a:ext>
          </a:extLst>
        </xdr:cNvPr>
        <xdr:cNvSpPr>
          <a:spLocks noChangeAspect="1" noChangeArrowheads="1"/>
        </xdr:cNvSpPr>
      </xdr:nvSpPr>
      <xdr:spPr bwMode="auto">
        <a:xfrm>
          <a:off x="44443650" y="10151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228</xdr:row>
      <xdr:rowOff>0</xdr:rowOff>
    </xdr:from>
    <xdr:to>
      <xdr:col>15</xdr:col>
      <xdr:colOff>304800</xdr:colOff>
      <xdr:row>228</xdr:row>
      <xdr:rowOff>304800</xdr:rowOff>
    </xdr:to>
    <xdr:sp macro="" textlink="">
      <xdr:nvSpPr>
        <xdr:cNvPr id="4098" name="AutoShape 2" descr="Cuál es el significado de la palabra 'OK'? ¿Por qué se usa? | Marca">
          <a:extLst>
            <a:ext uri="{FF2B5EF4-FFF2-40B4-BE49-F238E27FC236}">
              <a16:creationId xmlns:a16="http://schemas.microsoft.com/office/drawing/2014/main" id="{00000000-0008-0000-0500-000002100000}"/>
            </a:ext>
          </a:extLst>
        </xdr:cNvPr>
        <xdr:cNvSpPr>
          <a:spLocks noChangeAspect="1" noChangeArrowheads="1"/>
        </xdr:cNvSpPr>
      </xdr:nvSpPr>
      <xdr:spPr bwMode="auto">
        <a:xfrm>
          <a:off x="44443650" y="10151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1733550</xdr:colOff>
      <xdr:row>26</xdr:row>
      <xdr:rowOff>0</xdr:rowOff>
    </xdr:from>
    <xdr:to>
      <xdr:col>12</xdr:col>
      <xdr:colOff>152400</xdr:colOff>
      <xdr:row>59</xdr:row>
      <xdr:rowOff>457200</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173</xdr:row>
      <xdr:rowOff>1638300</xdr:rowOff>
    </xdr:from>
    <xdr:to>
      <xdr:col>6</xdr:col>
      <xdr:colOff>3505200</xdr:colOff>
      <xdr:row>212</xdr:row>
      <xdr:rowOff>228600</xdr:rowOff>
    </xdr:to>
    <xdr:graphicFrame macro="">
      <xdr:nvGraphicFramePr>
        <xdr:cNvPr id="50" name="Gráfico 49">
          <a:extLst>
            <a:ext uri="{FF2B5EF4-FFF2-40B4-BE49-F238E27FC236}">
              <a16:creationId xmlns:a16="http://schemas.microsoft.com/office/drawing/2014/main" id="{00000000-0008-0000-5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495300</xdr:colOff>
      <xdr:row>10</xdr:row>
      <xdr:rowOff>102759</xdr:rowOff>
    </xdr:from>
    <xdr:to>
      <xdr:col>4</xdr:col>
      <xdr:colOff>381000</xdr:colOff>
      <xdr:row>19</xdr:row>
      <xdr:rowOff>914400</xdr:rowOff>
    </xdr:to>
    <xdr:pic>
      <xdr:nvPicPr>
        <xdr:cNvPr id="52" name="Imagen 51" descr="Relación entre hombre y mujer en el trabajo Igualdad entre ...">
          <a:extLst>
            <a:ext uri="{FF2B5EF4-FFF2-40B4-BE49-F238E27FC236}">
              <a16:creationId xmlns:a16="http://schemas.microsoft.com/office/drawing/2014/main" id="{00000000-0008-0000-0400-000034000000}"/>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8188" t="12641" r="8187" b="7581"/>
        <a:stretch/>
      </xdr:blipFill>
      <xdr:spPr bwMode="auto">
        <a:xfrm flipH="1">
          <a:off x="495300" y="10275459"/>
          <a:ext cx="10706100" cy="6640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2743200</xdr:colOff>
      <xdr:row>63</xdr:row>
      <xdr:rowOff>114299</xdr:rowOff>
    </xdr:from>
    <xdr:to>
      <xdr:col>8</xdr:col>
      <xdr:colOff>3200400</xdr:colOff>
      <xdr:row>88</xdr:row>
      <xdr:rowOff>5282</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0"/>
        <a:stretch>
          <a:fillRect/>
        </a:stretch>
      </xdr:blipFill>
      <xdr:spPr>
        <a:xfrm>
          <a:off x="16764000" y="39547799"/>
          <a:ext cx="17754600" cy="10635183"/>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0.06584</cdr:x>
      <cdr:y>0.93688</cdr:y>
    </cdr:from>
    <cdr:to>
      <cdr:x>0.44128</cdr:x>
      <cdr:y>1</cdr:y>
    </cdr:to>
    <cdr:sp macro="" textlink="">
      <cdr:nvSpPr>
        <cdr:cNvPr id="2" name="CuadroTexto 1"/>
        <cdr:cNvSpPr txBox="1"/>
      </cdr:nvSpPr>
      <cdr:spPr>
        <a:xfrm xmlns:a="http://schemas.openxmlformats.org/drawingml/2006/main">
          <a:off x="1409700" y="11279660"/>
          <a:ext cx="8038996" cy="759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31.xml><?xml version="1.0" encoding="utf-8"?>
<c:userShapes xmlns:c="http://schemas.openxmlformats.org/drawingml/2006/chart">
  <cdr:relSizeAnchor xmlns:cdr="http://schemas.openxmlformats.org/drawingml/2006/chartDrawing">
    <cdr:from>
      <cdr:x>0.00772</cdr:x>
      <cdr:y>0.93728</cdr:y>
    </cdr:from>
    <cdr:to>
      <cdr:x>0.42284</cdr:x>
      <cdr:y>1</cdr:y>
    </cdr:to>
    <cdr:sp macro="" textlink="">
      <cdr:nvSpPr>
        <cdr:cNvPr id="2" name="CuadroTexto 1"/>
        <cdr:cNvSpPr txBox="1"/>
      </cdr:nvSpPr>
      <cdr:spPr>
        <a:xfrm xmlns:a="http://schemas.openxmlformats.org/drawingml/2006/main">
          <a:off x="188184" y="12998574"/>
          <a:ext cx="10122286" cy="869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32.xml><?xml version="1.0" encoding="utf-8"?>
<c:userShapes xmlns:c="http://schemas.openxmlformats.org/drawingml/2006/chart">
  <cdr:relSizeAnchor xmlns:cdr="http://schemas.openxmlformats.org/drawingml/2006/chartDrawing">
    <cdr:from>
      <cdr:x>0.07196</cdr:x>
      <cdr:y>0.95073</cdr:y>
    </cdr:from>
    <cdr:to>
      <cdr:x>0.41162</cdr:x>
      <cdr:y>0.99194</cdr:y>
    </cdr:to>
    <cdr:sp macro="" textlink="">
      <cdr:nvSpPr>
        <cdr:cNvPr id="2"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485900" y="13474926"/>
          <a:ext cx="7014224" cy="5839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0.02808</cdr:x>
      <cdr:y>0.93606</cdr:y>
    </cdr:from>
    <cdr:to>
      <cdr:x>0.34624</cdr:x>
      <cdr:y>0.97792</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432277" y="11305427"/>
          <a:ext cx="4897245" cy="505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0.04959</cdr:x>
      <cdr:y>0.9303</cdr:y>
    </cdr:from>
    <cdr:to>
      <cdr:x>0.48537</cdr:x>
      <cdr:y>0.99373</cdr:y>
    </cdr:to>
    <cdr:sp macro="" textlink="">
      <cdr:nvSpPr>
        <cdr:cNvPr id="2" name="CuadroTexto 1"/>
        <cdr:cNvSpPr txBox="1"/>
      </cdr:nvSpPr>
      <cdr:spPr>
        <a:xfrm xmlns:a="http://schemas.openxmlformats.org/drawingml/2006/main">
          <a:off x="1027725" y="11306778"/>
          <a:ext cx="9032150" cy="770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35.xml><?xml version="1.0" encoding="utf-8"?>
<c:userShapes xmlns:c="http://schemas.openxmlformats.org/drawingml/2006/chart">
  <cdr:relSizeAnchor xmlns:cdr="http://schemas.openxmlformats.org/drawingml/2006/chartDrawing">
    <cdr:from>
      <cdr:x>0.01047</cdr:x>
      <cdr:y>0.93303</cdr:y>
    </cdr:from>
    <cdr:to>
      <cdr:x>0.46388</cdr:x>
      <cdr:y>0.9933</cdr:y>
    </cdr:to>
    <cdr:sp macro="" textlink="">
      <cdr:nvSpPr>
        <cdr:cNvPr id="4" name="CuadroTexto 1"/>
        <cdr:cNvSpPr txBox="1"/>
      </cdr:nvSpPr>
      <cdr:spPr>
        <a:xfrm xmlns:a="http://schemas.openxmlformats.org/drawingml/2006/main">
          <a:off x="252508" y="9918019"/>
          <a:ext cx="10935025" cy="6406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IDOPPRIL</a:t>
          </a:r>
        </a:p>
      </cdr:txBody>
    </cdr:sp>
  </cdr:relSizeAnchor>
</c:userShapes>
</file>

<file path=xl/drawings/drawing3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IDOPRILL</a:t>
          </a:r>
        </a:p>
      </cdr:txBody>
    </cdr:sp>
  </cdr:relSizeAnchor>
</c:userShapes>
</file>

<file path=xl/drawings/drawing37.xml><?xml version="1.0" encoding="utf-8"?>
<c:userShapes xmlns:c="http://schemas.openxmlformats.org/drawingml/2006/chart">
  <cdr:relSizeAnchor xmlns:cdr="http://schemas.openxmlformats.org/drawingml/2006/chartDrawing">
    <cdr:from>
      <cdr:x>0.01761</cdr:x>
      <cdr:y>0.89195</cdr:y>
    </cdr:from>
    <cdr:to>
      <cdr:x>0.3564</cdr:x>
      <cdr:y>1</cdr:y>
    </cdr:to>
    <cdr:sp macro="" textlink="">
      <cdr:nvSpPr>
        <cdr:cNvPr id="2" name="1 CuadroTexto"/>
        <cdr:cNvSpPr txBox="1"/>
      </cdr:nvSpPr>
      <cdr:spPr>
        <a:xfrm xmlns:a="http://schemas.openxmlformats.org/drawingml/2006/main">
          <a:off x="387804" y="6456826"/>
          <a:ext cx="7460796" cy="7821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IDOPPRIL</a:t>
          </a:r>
        </a:p>
      </cdr:txBody>
    </cdr:sp>
  </cdr:relSizeAnchor>
</c:userShapes>
</file>

<file path=xl/drawings/drawing38.xml><?xml version="1.0" encoding="utf-8"?>
<c:userShapes xmlns:c="http://schemas.openxmlformats.org/drawingml/2006/chart">
  <cdr:relSizeAnchor xmlns:cdr="http://schemas.openxmlformats.org/drawingml/2006/chartDrawing">
    <cdr:from>
      <cdr:x>0.02288</cdr:x>
      <cdr:y>0.92442</cdr:y>
    </cdr:from>
    <cdr:to>
      <cdr:x>0.41045</cdr:x>
      <cdr:y>1</cdr:y>
    </cdr:to>
    <cdr:sp macro="" textlink="">
      <cdr:nvSpPr>
        <cdr:cNvPr id="2" name="CuadroTexto 1"/>
        <cdr:cNvSpPr txBox="1"/>
      </cdr:nvSpPr>
      <cdr:spPr>
        <a:xfrm xmlns:a="http://schemas.openxmlformats.org/drawingml/2006/main">
          <a:off x="496992" y="12115800"/>
          <a:ext cx="8416857" cy="990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000" b="1"/>
            <a:t>Fuente: </a:t>
          </a:r>
          <a:r>
            <a:rPr lang="es-DO" sz="4000"/>
            <a:t>SIPEN</a:t>
          </a:r>
        </a:p>
      </cdr:txBody>
    </cdr:sp>
  </cdr:relSizeAnchor>
</c:userShapes>
</file>

<file path=xl/drawings/drawing3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4000" b="1">
              <a:latin typeface="+mn-lt"/>
              <a:ea typeface="+mn-ea"/>
              <a:cs typeface="+mn-cs"/>
            </a:rPr>
            <a:t>Fuente: </a:t>
          </a:r>
          <a:r>
            <a:rPr lang="en-US" sz="4000">
              <a:latin typeface="+mn-lt"/>
              <a:ea typeface="+mn-ea"/>
              <a:cs typeface="+mn-cs"/>
            </a:rPr>
            <a:t>SIPEN </a:t>
          </a:r>
          <a:endParaRPr lang="en-US" sz="4000"/>
        </a:p>
        <a:p xmlns:a="http://schemas.openxmlformats.org/drawingml/2006/main">
          <a:endParaRPr lang="en-US" sz="4400"/>
        </a:p>
      </cdr:txBody>
    </cdr:sp>
  </cdr:relSizeAnchor>
</c:userShapes>
</file>

<file path=xl/drawings/drawing4.xml><?xml version="1.0" encoding="utf-8"?>
<c:userShapes xmlns:c="http://schemas.openxmlformats.org/drawingml/2006/chart">
  <cdr:relSizeAnchor xmlns:cdr="http://schemas.openxmlformats.org/drawingml/2006/chartDrawing">
    <cdr:from>
      <cdr:x>0.02411</cdr:x>
      <cdr:y>0.85887</cdr:y>
    </cdr:from>
    <cdr:to>
      <cdr:x>0.9707</cdr:x>
      <cdr:y>0.97734</cdr:y>
    </cdr:to>
    <cdr:sp macro="" textlink="">
      <cdr:nvSpPr>
        <cdr:cNvPr id="2" name="CuadroTexto 1"/>
        <cdr:cNvSpPr txBox="1"/>
      </cdr:nvSpPr>
      <cdr:spPr>
        <a:xfrm xmlns:a="http://schemas.openxmlformats.org/drawingml/2006/main">
          <a:off x="470364" y="8810625"/>
          <a:ext cx="18463667" cy="1215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  </a:t>
          </a:r>
        </a:p>
        <a:p xmlns:a="http://schemas.openxmlformats.org/drawingml/2006/main">
          <a:r>
            <a:rPr lang="en-US" sz="3200" b="1">
              <a:latin typeface="Arial" panose="020B0604020202020204" pitchFamily="34" charset="0"/>
              <a:cs typeface="Arial" panose="020B0604020202020204" pitchFamily="34" charset="0"/>
            </a:rPr>
            <a:t>Indice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40.xml><?xml version="1.0" encoding="utf-8"?>
<c:userShapes xmlns:c="http://schemas.openxmlformats.org/drawingml/2006/chart">
  <cdr:relSizeAnchor xmlns:cdr="http://schemas.openxmlformats.org/drawingml/2006/chartDrawing">
    <cdr:from>
      <cdr:x>0.03389</cdr:x>
      <cdr:y>0.9268</cdr:y>
    </cdr:from>
    <cdr:to>
      <cdr:x>0.26353</cdr:x>
      <cdr:y>0.99394</cdr:y>
    </cdr:to>
    <cdr:sp macro="" textlink="">
      <cdr:nvSpPr>
        <cdr:cNvPr id="3" name="1 CuadroTexto"/>
        <cdr:cNvSpPr txBox="1"/>
      </cdr:nvSpPr>
      <cdr:spPr>
        <a:xfrm xmlns:a="http://schemas.openxmlformats.org/drawingml/2006/main">
          <a:off x="774700" y="9004300"/>
          <a:ext cx="5249627" cy="652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TSS</a:t>
          </a:r>
        </a:p>
      </cdr:txBody>
    </cdr:sp>
  </cdr:relSizeAnchor>
</c:userShapes>
</file>

<file path=xl/drawings/drawing41.xml><?xml version="1.0" encoding="utf-8"?>
<c:userShapes xmlns:c="http://schemas.openxmlformats.org/drawingml/2006/chart">
  <cdr:relSizeAnchor xmlns:cdr="http://schemas.openxmlformats.org/drawingml/2006/chartDrawing">
    <cdr:from>
      <cdr:x>0.03219</cdr:x>
      <cdr:y>0.86459</cdr:y>
    </cdr:from>
    <cdr:to>
      <cdr:x>0.30096</cdr:x>
      <cdr:y>0.9283</cdr:y>
    </cdr:to>
    <cdr:sp macro="" textlink="">
      <cdr:nvSpPr>
        <cdr:cNvPr id="2" name="CuadroTexto 1"/>
        <cdr:cNvSpPr txBox="1"/>
      </cdr:nvSpPr>
      <cdr:spPr>
        <a:xfrm xmlns:a="http://schemas.openxmlformats.org/drawingml/2006/main">
          <a:off x="797223" y="9717584"/>
          <a:ext cx="6656090" cy="716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42.xml><?xml version="1.0" encoding="utf-8"?>
<c:userShapes xmlns:c="http://schemas.openxmlformats.org/drawingml/2006/chart">
  <cdr:relSizeAnchor xmlns:cdr="http://schemas.openxmlformats.org/drawingml/2006/chartDrawing">
    <cdr:from>
      <cdr:x>0.04672</cdr:x>
      <cdr:y>0.94314</cdr:y>
    </cdr:from>
    <cdr:to>
      <cdr:x>0.3449</cdr:x>
      <cdr:y>1</cdr:y>
    </cdr:to>
    <cdr:sp macro="" textlink="">
      <cdr:nvSpPr>
        <cdr:cNvPr id="9" name="CuadroTexto 1"/>
        <cdr:cNvSpPr txBox="1"/>
      </cdr:nvSpPr>
      <cdr:spPr>
        <a:xfrm xmlns:a="http://schemas.openxmlformats.org/drawingml/2006/main">
          <a:off x="1041400" y="9019373"/>
          <a:ext cx="6645849" cy="5437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43.xml><?xml version="1.0" encoding="utf-8"?>
<c:userShapes xmlns:c="http://schemas.openxmlformats.org/drawingml/2006/chart">
  <cdr:relSizeAnchor xmlns:cdr="http://schemas.openxmlformats.org/drawingml/2006/chartDrawing">
    <cdr:from>
      <cdr:x>0.01139</cdr:x>
      <cdr:y>0.94406</cdr:y>
    </cdr:from>
    <cdr:to>
      <cdr:x>0.44231</cdr:x>
      <cdr:y>1</cdr:y>
    </cdr:to>
    <cdr:sp macro="" textlink="">
      <cdr:nvSpPr>
        <cdr:cNvPr id="2" name="CuadroTexto 1"/>
        <cdr:cNvSpPr txBox="1"/>
      </cdr:nvSpPr>
      <cdr:spPr>
        <a:xfrm xmlns:a="http://schemas.openxmlformats.org/drawingml/2006/main">
          <a:off x="241300" y="12013540"/>
          <a:ext cx="9128334" cy="711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44.xml><?xml version="1.0" encoding="utf-8"?>
<xdr:wsDr xmlns:xdr="http://schemas.openxmlformats.org/drawingml/2006/spreadsheetDrawing" xmlns:a="http://schemas.openxmlformats.org/drawingml/2006/main">
  <xdr:twoCellAnchor>
    <xdr:from>
      <xdr:col>5</xdr:col>
      <xdr:colOff>6743700</xdr:colOff>
      <xdr:row>4</xdr:row>
      <xdr:rowOff>1104900</xdr:rowOff>
    </xdr:from>
    <xdr:to>
      <xdr:col>12</xdr:col>
      <xdr:colOff>1257300</xdr:colOff>
      <xdr:row>18</xdr:row>
      <xdr:rowOff>152400</xdr:rowOff>
    </xdr:to>
    <xdr:graphicFrame macro="">
      <xdr:nvGraphicFramePr>
        <xdr:cNvPr id="2" name="Gráfico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2438400</xdr:colOff>
      <xdr:row>29</xdr:row>
      <xdr:rowOff>419100</xdr:rowOff>
    </xdr:from>
    <xdr:to>
      <xdr:col>6</xdr:col>
      <xdr:colOff>2667000</xdr:colOff>
      <xdr:row>42</xdr:row>
      <xdr:rowOff>533400</xdr:rowOff>
    </xdr:to>
    <xdr:graphicFrame macro="">
      <xdr:nvGraphicFramePr>
        <xdr:cNvPr id="3" name="Gráfico 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414338</xdr:colOff>
      <xdr:row>0</xdr:row>
      <xdr:rowOff>338138</xdr:rowOff>
    </xdr:from>
    <xdr:to>
      <xdr:col>2</xdr:col>
      <xdr:colOff>2324100</xdr:colOff>
      <xdr:row>0</xdr:row>
      <xdr:rowOff>3275508</xdr:rowOff>
    </xdr:to>
    <xdr:pic>
      <xdr:nvPicPr>
        <xdr:cNvPr id="4" name="Imagen 3">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8313" y="338138"/>
          <a:ext cx="4795837" cy="2937370"/>
        </a:xfrm>
        <a:prstGeom prst="rect">
          <a:avLst/>
        </a:prstGeom>
      </xdr:spPr>
    </xdr:pic>
    <xdr:clientData/>
  </xdr:twoCellAnchor>
  <xdr:twoCellAnchor>
    <xdr:from>
      <xdr:col>0</xdr:col>
      <xdr:colOff>533400</xdr:colOff>
      <xdr:row>101</xdr:row>
      <xdr:rowOff>2247900</xdr:rowOff>
    </xdr:from>
    <xdr:to>
      <xdr:col>5</xdr:col>
      <xdr:colOff>6591300</xdr:colOff>
      <xdr:row>115</xdr:row>
      <xdr:rowOff>381000</xdr:rowOff>
    </xdr:to>
    <xdr:graphicFrame macro="">
      <xdr:nvGraphicFramePr>
        <xdr:cNvPr id="5" name="Gráfico 4">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65</xdr:col>
      <xdr:colOff>685800</xdr:colOff>
      <xdr:row>3</xdr:row>
      <xdr:rowOff>514350</xdr:rowOff>
    </xdr:from>
    <xdr:to>
      <xdr:col>96</xdr:col>
      <xdr:colOff>476250</xdr:colOff>
      <xdr:row>22</xdr:row>
      <xdr:rowOff>990600</xdr:rowOff>
    </xdr:to>
    <xdr:graphicFrame macro="">
      <xdr:nvGraphicFramePr>
        <xdr:cNvPr id="6" name="6 Gráfico">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7848600</xdr:colOff>
      <xdr:row>108</xdr:row>
      <xdr:rowOff>295275</xdr:rowOff>
    </xdr:from>
    <xdr:to>
      <xdr:col>8</xdr:col>
      <xdr:colOff>606908</xdr:colOff>
      <xdr:row>117</xdr:row>
      <xdr:rowOff>0</xdr:rowOff>
    </xdr:to>
    <xdr:sp macro="" textlink="">
      <xdr:nvSpPr>
        <xdr:cNvPr id="7" name="TextBox 3176">
          <a:extLst>
            <a:ext uri="{FF2B5EF4-FFF2-40B4-BE49-F238E27FC236}">
              <a16:creationId xmlns:a16="http://schemas.microsoft.com/office/drawing/2014/main" id="{00000000-0008-0000-0500-00002E000000}"/>
            </a:ext>
          </a:extLst>
        </xdr:cNvPr>
        <xdr:cNvSpPr txBox="1"/>
      </xdr:nvSpPr>
      <xdr:spPr>
        <a:xfrm>
          <a:off x="29841825" y="99926775"/>
          <a:ext cx="4207358" cy="5019675"/>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15,108</a:t>
          </a:r>
        </a:p>
      </xdr:txBody>
    </xdr:sp>
    <xdr:clientData/>
  </xdr:twoCellAnchor>
  <xdr:twoCellAnchor>
    <xdr:from>
      <xdr:col>0</xdr:col>
      <xdr:colOff>0</xdr:colOff>
      <xdr:row>57</xdr:row>
      <xdr:rowOff>0</xdr:rowOff>
    </xdr:from>
    <xdr:to>
      <xdr:col>6</xdr:col>
      <xdr:colOff>1562100</xdr:colOff>
      <xdr:row>68</xdr:row>
      <xdr:rowOff>457200</xdr:rowOff>
    </xdr:to>
    <xdr:graphicFrame macro="">
      <xdr:nvGraphicFramePr>
        <xdr:cNvPr id="8" name="Gráfico 7">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6629400</xdr:colOff>
      <xdr:row>101</xdr:row>
      <xdr:rowOff>2209800</xdr:rowOff>
    </xdr:from>
    <xdr:to>
      <xdr:col>12</xdr:col>
      <xdr:colOff>1485900</xdr:colOff>
      <xdr:row>116</xdr:row>
      <xdr:rowOff>342900</xdr:rowOff>
    </xdr:to>
    <xdr:graphicFrame macro="">
      <xdr:nvGraphicFramePr>
        <xdr:cNvPr id="9" name="Gráfico 8">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50</xdr:col>
      <xdr:colOff>0</xdr:colOff>
      <xdr:row>103</xdr:row>
      <xdr:rowOff>0</xdr:rowOff>
    </xdr:from>
    <xdr:to>
      <xdr:col>50</xdr:col>
      <xdr:colOff>304800</xdr:colOff>
      <xdr:row>103</xdr:row>
      <xdr:rowOff>304800</xdr:rowOff>
    </xdr:to>
    <xdr:sp macro="" textlink="">
      <xdr:nvSpPr>
        <xdr:cNvPr id="10" name="AutoShape 1" descr="Cuál es el significado de la palabra 'OK'? ¿Por qué se usa? | Marca">
          <a:extLst>
            <a:ext uri="{FF2B5EF4-FFF2-40B4-BE49-F238E27FC236}">
              <a16:creationId xmlns:a16="http://schemas.microsoft.com/office/drawing/2014/main" id="{00000000-0008-0000-0500-000001100000}"/>
            </a:ext>
          </a:extLst>
        </xdr:cNvPr>
        <xdr:cNvSpPr>
          <a:spLocks noChangeAspect="1" noChangeArrowheads="1"/>
        </xdr:cNvSpPr>
      </xdr:nvSpPr>
      <xdr:spPr bwMode="auto">
        <a:xfrm>
          <a:off x="110023275" y="96021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50</xdr:col>
      <xdr:colOff>0</xdr:colOff>
      <xdr:row>103</xdr:row>
      <xdr:rowOff>0</xdr:rowOff>
    </xdr:from>
    <xdr:to>
      <xdr:col>50</xdr:col>
      <xdr:colOff>304800</xdr:colOff>
      <xdr:row>103</xdr:row>
      <xdr:rowOff>304800</xdr:rowOff>
    </xdr:to>
    <xdr:sp macro="" textlink="">
      <xdr:nvSpPr>
        <xdr:cNvPr id="11" name="AutoShape 2" descr="Cuál es el significado de la palabra 'OK'? ¿Por qué se usa? | Marca">
          <a:extLst>
            <a:ext uri="{FF2B5EF4-FFF2-40B4-BE49-F238E27FC236}">
              <a16:creationId xmlns:a16="http://schemas.microsoft.com/office/drawing/2014/main" id="{00000000-0008-0000-0500-000002100000}"/>
            </a:ext>
          </a:extLst>
        </xdr:cNvPr>
        <xdr:cNvSpPr>
          <a:spLocks noChangeAspect="1" noChangeArrowheads="1"/>
        </xdr:cNvSpPr>
      </xdr:nvSpPr>
      <xdr:spPr bwMode="auto">
        <a:xfrm>
          <a:off x="110023275" y="96021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2781300</xdr:colOff>
      <xdr:row>19</xdr:row>
      <xdr:rowOff>228600</xdr:rowOff>
    </xdr:from>
    <xdr:to>
      <xdr:col>6</xdr:col>
      <xdr:colOff>571500</xdr:colOff>
      <xdr:row>29</xdr:row>
      <xdr:rowOff>76200</xdr:rowOff>
    </xdr:to>
    <xdr:graphicFrame macro="">
      <xdr:nvGraphicFramePr>
        <xdr:cNvPr id="12" name="Gráfico 11">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xdr:row>
      <xdr:rowOff>342900</xdr:rowOff>
    </xdr:from>
    <xdr:to>
      <xdr:col>12</xdr:col>
      <xdr:colOff>1524000</xdr:colOff>
      <xdr:row>4</xdr:row>
      <xdr:rowOff>609600</xdr:rowOff>
    </xdr:to>
    <xdr:sp macro="" textlink="">
      <xdr:nvSpPr>
        <xdr:cNvPr id="13" name="Rectángulo redondeado 12">
          <a:extLst>
            <a:ext uri="{FF2B5EF4-FFF2-40B4-BE49-F238E27FC236}">
              <a16:creationId xmlns:a16="http://schemas.microsoft.com/office/drawing/2014/main" id="{00000000-0008-0000-0900-00002D000000}"/>
            </a:ext>
          </a:extLst>
        </xdr:cNvPr>
        <xdr:cNvSpPr/>
      </xdr:nvSpPr>
      <xdr:spPr>
        <a:xfrm>
          <a:off x="0" y="4419600"/>
          <a:ext cx="46415325" cy="1428750"/>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SeguroFamiliar de Salud (SFS)</a:t>
          </a:r>
        </a:p>
      </xdr:txBody>
    </xdr:sp>
    <xdr:clientData/>
  </xdr:twoCellAnchor>
  <xdr:twoCellAnchor>
    <xdr:from>
      <xdr:col>0</xdr:col>
      <xdr:colOff>0</xdr:colOff>
      <xdr:row>3</xdr:row>
      <xdr:rowOff>19222</xdr:rowOff>
    </xdr:from>
    <xdr:to>
      <xdr:col>2</xdr:col>
      <xdr:colOff>3390900</xdr:colOff>
      <xdr:row>42</xdr:row>
      <xdr:rowOff>495300</xdr:rowOff>
    </xdr:to>
    <xdr:grpSp>
      <xdr:nvGrpSpPr>
        <xdr:cNvPr id="14" name="Grupo 13">
          <a:extLst>
            <a:ext uri="{FF2B5EF4-FFF2-40B4-BE49-F238E27FC236}">
              <a16:creationId xmlns:a16="http://schemas.microsoft.com/office/drawing/2014/main" id="{00000000-0008-0000-0900-000000C00100}"/>
            </a:ext>
          </a:extLst>
        </xdr:cNvPr>
        <xdr:cNvGrpSpPr/>
      </xdr:nvGrpSpPr>
      <xdr:grpSpPr>
        <a:xfrm>
          <a:off x="0" y="4676947"/>
          <a:ext cx="7600950" cy="29098703"/>
          <a:chOff x="-25726" y="4636143"/>
          <a:chExt cx="7772400" cy="40087477"/>
        </a:xfrm>
        <a:solidFill>
          <a:schemeClr val="accent1">
            <a:lumMod val="50000"/>
          </a:schemeClr>
        </a:solidFill>
        <a:effectLst>
          <a:glow rad="101600">
            <a:schemeClr val="accent1">
              <a:satMod val="175000"/>
              <a:alpha val="40000"/>
            </a:schemeClr>
          </a:glow>
        </a:effectLst>
      </xdr:grpSpPr>
      <xdr:sp macro="" textlink="">
        <xdr:nvSpPr>
          <xdr:cNvPr id="15" name="Rectángulo redondeado 14">
            <a:extLst>
              <a:ext uri="{FF2B5EF4-FFF2-40B4-BE49-F238E27FC236}">
                <a16:creationId xmlns:a16="http://schemas.microsoft.com/office/drawing/2014/main" id="{00000000-0008-0000-0900-00002E000000}"/>
              </a:ext>
            </a:extLst>
          </xdr:cNvPr>
          <xdr:cNvSpPr/>
        </xdr:nvSpPr>
        <xdr:spPr>
          <a:xfrm>
            <a:off x="-25726" y="4636143"/>
            <a:ext cx="7772400" cy="62103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97.5%</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bg1"/>
                </a:solidFill>
                <a:effectLst/>
                <a:latin typeface="+mn-lt"/>
                <a:ea typeface="+mn-ea"/>
                <a:cs typeface="+mn-cs"/>
              </a:rPr>
              <a:t>% Estimado de Población  Afiliada al SFS del SDSS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bg1"/>
                </a:solidFill>
                <a:effectLst/>
                <a:latin typeface="+mn-lt"/>
                <a:ea typeface="+mn-ea"/>
                <a:cs typeface="+mn-cs"/>
              </a:rPr>
              <a:t> </a:t>
            </a:r>
            <a:endParaRPr lang="es-DO" sz="4800">
              <a:solidFill>
                <a:schemeClr val="bg1"/>
              </a:solidFill>
              <a:effectLst/>
            </a:endParaRPr>
          </a:p>
          <a:p>
            <a:pPr algn="ctr"/>
            <a:endParaRPr lang="es-DO" sz="4800">
              <a:solidFill>
                <a:schemeClr val="bg1"/>
              </a:solidFill>
            </a:endParaRPr>
          </a:p>
        </xdr:txBody>
      </xdr:sp>
      <xdr:sp macro="" textlink="">
        <xdr:nvSpPr>
          <xdr:cNvPr id="16" name="Rectángulo redondeado 15">
            <a:extLst>
              <a:ext uri="{FF2B5EF4-FFF2-40B4-BE49-F238E27FC236}">
                <a16:creationId xmlns:a16="http://schemas.microsoft.com/office/drawing/2014/main" id="{00000000-0008-0000-0900-000030000000}"/>
              </a:ext>
            </a:extLst>
          </xdr:cNvPr>
          <xdr:cNvSpPr/>
        </xdr:nvSpPr>
        <xdr:spPr>
          <a:xfrm>
            <a:off x="92371" y="11115850"/>
            <a:ext cx="7400692" cy="6547942"/>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10,541,095</a:t>
            </a:r>
          </a:p>
          <a:p>
            <a:pPr marL="0" marR="0" indent="0" algn="ctr" defTabSz="914400" eaLnBrk="1" fontAlgn="auto" latinLnBrk="0" hangingPunct="1">
              <a:lnSpc>
                <a:spcPct val="100000"/>
              </a:lnSpc>
              <a:spcBef>
                <a:spcPts val="0"/>
              </a:spcBef>
              <a:spcAft>
                <a:spcPts val="0"/>
              </a:spcAft>
              <a:buClrTx/>
              <a:buSzTx/>
              <a:buFontTx/>
              <a:buNone/>
              <a:tabLst/>
              <a:defRPr/>
            </a:pPr>
            <a:endParaRPr lang="es-DO" sz="11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bg1"/>
                </a:solidFill>
                <a:effectLst/>
                <a:latin typeface="+mn-lt"/>
                <a:ea typeface="+mn-ea"/>
                <a:cs typeface="+mn-cs"/>
              </a:rPr>
              <a:t>Afiliación SFS</a:t>
            </a:r>
            <a:endParaRPr lang="es-DO" sz="5400">
              <a:solidFill>
                <a:schemeClr val="bg1"/>
              </a:solidFill>
              <a:effectLst/>
            </a:endParaRPr>
          </a:p>
          <a:p>
            <a:pPr algn="ctr"/>
            <a:endParaRPr lang="es-DO" sz="5400">
              <a:solidFill>
                <a:schemeClr val="bg1"/>
              </a:solidFill>
            </a:endParaRPr>
          </a:p>
        </xdr:txBody>
      </xdr:sp>
      <xdr:sp macro="" textlink="">
        <xdr:nvSpPr>
          <xdr:cNvPr id="17" name="Rectángulo redondeado 16">
            <a:extLst>
              <a:ext uri="{FF2B5EF4-FFF2-40B4-BE49-F238E27FC236}">
                <a16:creationId xmlns:a16="http://schemas.microsoft.com/office/drawing/2014/main" id="{00000000-0008-0000-0900-000031000000}"/>
              </a:ext>
            </a:extLst>
          </xdr:cNvPr>
          <xdr:cNvSpPr/>
        </xdr:nvSpPr>
        <xdr:spPr>
          <a:xfrm>
            <a:off x="131736" y="18004953"/>
            <a:ext cx="7429500"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2,482,646</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bg1"/>
                </a:solidFill>
                <a:effectLst/>
                <a:latin typeface="+mn-lt"/>
                <a:ea typeface="+mn-ea"/>
                <a:cs typeface="+mn-cs"/>
              </a:rPr>
              <a:t>Afiliación</a:t>
            </a:r>
            <a:r>
              <a:rPr lang="es-DO" sz="5400" b="1" baseline="0">
                <a:solidFill>
                  <a:schemeClr val="bg1"/>
                </a:solidFill>
                <a:effectLst/>
                <a:latin typeface="+mn-lt"/>
                <a:ea typeface="+mn-ea"/>
                <a:cs typeface="+mn-cs"/>
              </a:rPr>
              <a:t> SRL</a:t>
            </a:r>
            <a:endParaRPr lang="es-DO" sz="5400">
              <a:solidFill>
                <a:schemeClr val="bg1"/>
              </a:solidFill>
            </a:endParaRPr>
          </a:p>
        </xdr:txBody>
      </xdr:sp>
      <xdr:sp macro="" textlink="">
        <xdr:nvSpPr>
          <xdr:cNvPr id="18" name="Rectángulo redondeado 17">
            <a:extLst>
              <a:ext uri="{FF2B5EF4-FFF2-40B4-BE49-F238E27FC236}">
                <a16:creationId xmlns:a16="http://schemas.microsoft.com/office/drawing/2014/main" id="{00000000-0008-0000-0900-000032000000}"/>
              </a:ext>
            </a:extLst>
          </xdr:cNvPr>
          <xdr:cNvSpPr/>
        </xdr:nvSpPr>
        <xdr:spPr>
          <a:xfrm>
            <a:off x="194623" y="31557416"/>
            <a:ext cx="7239000"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8000" b="1">
                <a:solidFill>
                  <a:schemeClr val="bg1"/>
                </a:solidFill>
                <a:effectLst/>
                <a:latin typeface="+mn-lt"/>
                <a:ea typeface="+mn-ea"/>
                <a:cs typeface="+mn-cs"/>
              </a:rPr>
              <a:t>RD$ 1,683.22</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bg1"/>
                </a:solidFill>
                <a:effectLst/>
                <a:latin typeface="+mn-lt"/>
                <a:ea typeface="+mn-ea"/>
                <a:cs typeface="+mn-cs"/>
              </a:rPr>
              <a:t>Per cápita del SFS RC  </a:t>
            </a:r>
            <a:endParaRPr lang="es-DO" sz="5400">
              <a:solidFill>
                <a:schemeClr val="bg1"/>
              </a:solidFill>
            </a:endParaRPr>
          </a:p>
        </xdr:txBody>
      </xdr:sp>
      <xdr:sp macro="" textlink="">
        <xdr:nvSpPr>
          <xdr:cNvPr id="19" name="Rectángulo redondeado 18">
            <a:extLst>
              <a:ext uri="{FF2B5EF4-FFF2-40B4-BE49-F238E27FC236}">
                <a16:creationId xmlns:a16="http://schemas.microsoft.com/office/drawing/2014/main" id="{00000000-0008-0000-0900-000033000000}"/>
              </a:ext>
            </a:extLst>
          </xdr:cNvPr>
          <xdr:cNvSpPr/>
        </xdr:nvSpPr>
        <xdr:spPr>
          <a:xfrm>
            <a:off x="249001" y="38284720"/>
            <a:ext cx="7086600" cy="6438900"/>
          </a:xfrm>
          <a:prstGeom prst="roundRect">
            <a:avLst/>
          </a:prstGeom>
          <a:grpFill/>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RD$259.43</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bg1"/>
                </a:solidFill>
                <a:effectLst/>
                <a:latin typeface="+mn-lt"/>
                <a:ea typeface="+mn-ea"/>
                <a:cs typeface="+mn-cs"/>
              </a:rPr>
              <a:t>Per cápita del SFS RS  </a:t>
            </a:r>
          </a:p>
        </xdr:txBody>
      </xdr:sp>
      <xdr:sp macro="" textlink="">
        <xdr:nvSpPr>
          <xdr:cNvPr id="20" name="Rectángulo redondeado 19">
            <a:extLst>
              <a:ext uri="{FF2B5EF4-FFF2-40B4-BE49-F238E27FC236}">
                <a16:creationId xmlns:a16="http://schemas.microsoft.com/office/drawing/2014/main" id="{00000000-0008-0000-0900-000034000000}"/>
              </a:ext>
            </a:extLst>
          </xdr:cNvPr>
          <xdr:cNvSpPr/>
        </xdr:nvSpPr>
        <xdr:spPr>
          <a:xfrm>
            <a:off x="104985" y="24746149"/>
            <a:ext cx="7388077"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5,214,285</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bg1"/>
                </a:solidFill>
                <a:effectLst/>
                <a:latin typeface="+mn-lt"/>
                <a:ea typeface="+mn-ea"/>
                <a:cs typeface="+mn-cs"/>
              </a:rPr>
              <a:t>Afiliación SVDS</a:t>
            </a:r>
            <a:endParaRPr lang="es-DO" sz="5400">
              <a:solidFill>
                <a:schemeClr val="bg1"/>
              </a:solidFill>
              <a:effectLst/>
            </a:endParaRPr>
          </a:p>
          <a:p>
            <a:pPr algn="ctr"/>
            <a:endParaRPr lang="es-DO" sz="5400">
              <a:solidFill>
                <a:schemeClr val="bg1"/>
              </a:solidFill>
            </a:endParaRPr>
          </a:p>
        </xdr:txBody>
      </xdr:sp>
    </xdr:grpSp>
    <xdr:clientData/>
  </xdr:twoCellAnchor>
  <xdr:twoCellAnchor>
    <xdr:from>
      <xdr:col>33</xdr:col>
      <xdr:colOff>419100</xdr:colOff>
      <xdr:row>22</xdr:row>
      <xdr:rowOff>114300</xdr:rowOff>
    </xdr:from>
    <xdr:to>
      <xdr:col>53</xdr:col>
      <xdr:colOff>571500</xdr:colOff>
      <xdr:row>37</xdr:row>
      <xdr:rowOff>266700</xdr:rowOff>
    </xdr:to>
    <xdr:graphicFrame macro="">
      <xdr:nvGraphicFramePr>
        <xdr:cNvPr id="21" name="Gráfico 20">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1333500</xdr:colOff>
      <xdr:row>12</xdr:row>
      <xdr:rowOff>457200</xdr:rowOff>
    </xdr:from>
    <xdr:to>
      <xdr:col>2</xdr:col>
      <xdr:colOff>304800</xdr:colOff>
      <xdr:row>14</xdr:row>
      <xdr:rowOff>266700</xdr:rowOff>
    </xdr:to>
    <xdr:pic>
      <xdr:nvPicPr>
        <xdr:cNvPr id="22" name="Imagen 21">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57475" y="12134850"/>
          <a:ext cx="1857375" cy="1857375"/>
        </a:xfrm>
        <a:prstGeom prst="rect">
          <a:avLst/>
        </a:prstGeom>
      </xdr:spPr>
    </xdr:pic>
    <xdr:clientData/>
  </xdr:twoCellAnchor>
  <xdr:twoCellAnchor editAs="oneCell">
    <xdr:from>
      <xdr:col>1</xdr:col>
      <xdr:colOff>1409701</xdr:colOff>
      <xdr:row>6</xdr:row>
      <xdr:rowOff>228601</xdr:rowOff>
    </xdr:from>
    <xdr:to>
      <xdr:col>2</xdr:col>
      <xdr:colOff>152400</xdr:colOff>
      <xdr:row>9</xdr:row>
      <xdr:rowOff>76200</xdr:rowOff>
    </xdr:to>
    <xdr:pic>
      <xdr:nvPicPr>
        <xdr:cNvPr id="23" name="Imagen 22">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33676" y="7581901"/>
          <a:ext cx="1628774" cy="1647824"/>
        </a:xfrm>
        <a:prstGeom prst="rect">
          <a:avLst/>
        </a:prstGeom>
      </xdr:spPr>
    </xdr:pic>
    <xdr:clientData/>
  </xdr:twoCellAnchor>
  <xdr:twoCellAnchor editAs="oneCell">
    <xdr:from>
      <xdr:col>1</xdr:col>
      <xdr:colOff>1295400</xdr:colOff>
      <xdr:row>31</xdr:row>
      <xdr:rowOff>76200</xdr:rowOff>
    </xdr:from>
    <xdr:to>
      <xdr:col>2</xdr:col>
      <xdr:colOff>647700</xdr:colOff>
      <xdr:row>34</xdr:row>
      <xdr:rowOff>228600</xdr:rowOff>
    </xdr:to>
    <xdr:pic>
      <xdr:nvPicPr>
        <xdr:cNvPr id="24" name="Imagen 23">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619375" y="26555700"/>
          <a:ext cx="2238375" cy="2247900"/>
        </a:xfrm>
        <a:prstGeom prst="rect">
          <a:avLst/>
        </a:prstGeom>
      </xdr:spPr>
    </xdr:pic>
    <xdr:clientData/>
  </xdr:twoCellAnchor>
  <xdr:twoCellAnchor editAs="oneCell">
    <xdr:from>
      <xdr:col>1</xdr:col>
      <xdr:colOff>1495426</xdr:colOff>
      <xdr:row>39</xdr:row>
      <xdr:rowOff>304801</xdr:rowOff>
    </xdr:from>
    <xdr:to>
      <xdr:col>2</xdr:col>
      <xdr:colOff>381000</xdr:colOff>
      <xdr:row>42</xdr:row>
      <xdr:rowOff>295275</xdr:rowOff>
    </xdr:to>
    <xdr:pic>
      <xdr:nvPicPr>
        <xdr:cNvPr id="25" name="Imagen 24">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19401" y="31832551"/>
          <a:ext cx="1771649" cy="1743074"/>
        </a:xfrm>
        <a:prstGeom prst="rect">
          <a:avLst/>
        </a:prstGeom>
      </xdr:spPr>
    </xdr:pic>
    <xdr:clientData/>
  </xdr:twoCellAnchor>
  <xdr:twoCellAnchor editAs="oneCell">
    <xdr:from>
      <xdr:col>1</xdr:col>
      <xdr:colOff>1447801</xdr:colOff>
      <xdr:row>23</xdr:row>
      <xdr:rowOff>1524001</xdr:rowOff>
    </xdr:from>
    <xdr:to>
      <xdr:col>2</xdr:col>
      <xdr:colOff>495300</xdr:colOff>
      <xdr:row>25</xdr:row>
      <xdr:rowOff>152400</xdr:rowOff>
    </xdr:to>
    <xdr:pic>
      <xdr:nvPicPr>
        <xdr:cNvPr id="26" name="Imagen 25">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771776" y="21669376"/>
          <a:ext cx="1933574" cy="1924049"/>
        </a:xfrm>
        <a:prstGeom prst="rect">
          <a:avLst/>
        </a:prstGeom>
      </xdr:spPr>
    </xdr:pic>
    <xdr:clientData/>
  </xdr:twoCellAnchor>
  <xdr:twoCellAnchor editAs="oneCell">
    <xdr:from>
      <xdr:col>14</xdr:col>
      <xdr:colOff>419101</xdr:colOff>
      <xdr:row>12</xdr:row>
      <xdr:rowOff>190501</xdr:rowOff>
    </xdr:from>
    <xdr:to>
      <xdr:col>14</xdr:col>
      <xdr:colOff>3962401</xdr:colOff>
      <xdr:row>18</xdr:row>
      <xdr:rowOff>38101</xdr:rowOff>
    </xdr:to>
    <xdr:pic>
      <xdr:nvPicPr>
        <xdr:cNvPr id="27" name="Imagen 26">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9796701" y="11849101"/>
          <a:ext cx="3543300" cy="3543300"/>
        </a:xfrm>
        <a:prstGeom prst="rect">
          <a:avLst/>
        </a:prstGeom>
      </xdr:spPr>
    </xdr:pic>
    <xdr:clientData/>
  </xdr:twoCellAnchor>
  <xdr:twoCellAnchor editAs="oneCell">
    <xdr:from>
      <xdr:col>1</xdr:col>
      <xdr:colOff>1447801</xdr:colOff>
      <xdr:row>21</xdr:row>
      <xdr:rowOff>304801</xdr:rowOff>
    </xdr:from>
    <xdr:to>
      <xdr:col>2</xdr:col>
      <xdr:colOff>304800</xdr:colOff>
      <xdr:row>22</xdr:row>
      <xdr:rowOff>304800</xdr:rowOff>
    </xdr:to>
    <xdr:pic>
      <xdr:nvPicPr>
        <xdr:cNvPr id="28" name="Imagen 27">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771776" y="17116426"/>
          <a:ext cx="1743074" cy="1733549"/>
        </a:xfrm>
        <a:prstGeom prst="rect">
          <a:avLst/>
        </a:prstGeom>
      </xdr:spPr>
    </xdr:pic>
    <xdr:clientData/>
  </xdr:twoCellAnchor>
  <xdr:twoCellAnchor>
    <xdr:from>
      <xdr:col>6</xdr:col>
      <xdr:colOff>1981200</xdr:colOff>
      <xdr:row>56</xdr:row>
      <xdr:rowOff>495300</xdr:rowOff>
    </xdr:from>
    <xdr:to>
      <xdr:col>12</xdr:col>
      <xdr:colOff>1143000</xdr:colOff>
      <xdr:row>68</xdr:row>
      <xdr:rowOff>304800</xdr:rowOff>
    </xdr:to>
    <xdr:graphicFrame macro="">
      <xdr:nvGraphicFramePr>
        <xdr:cNvPr id="29" name="Gráfico 28">
          <a:extLst>
            <a:ext uri="{FF2B5EF4-FFF2-40B4-BE49-F238E27FC236}">
              <a16:creationId xmlns:a16="http://schemas.microsoft.com/office/drawing/2014/main" id="{00000000-0008-0000-09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419100</xdr:colOff>
      <xdr:row>92</xdr:row>
      <xdr:rowOff>266700</xdr:rowOff>
    </xdr:from>
    <xdr:to>
      <xdr:col>6</xdr:col>
      <xdr:colOff>1943100</xdr:colOff>
      <xdr:row>99</xdr:row>
      <xdr:rowOff>1600200</xdr:rowOff>
    </xdr:to>
    <xdr:graphicFrame macro="">
      <xdr:nvGraphicFramePr>
        <xdr:cNvPr id="30"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381000</xdr:colOff>
      <xdr:row>99</xdr:row>
      <xdr:rowOff>952500</xdr:rowOff>
    </xdr:from>
    <xdr:to>
      <xdr:col>6</xdr:col>
      <xdr:colOff>1409700</xdr:colOff>
      <xdr:row>101</xdr:row>
      <xdr:rowOff>2247900</xdr:rowOff>
    </xdr:to>
    <xdr:graphicFrame macro="">
      <xdr:nvGraphicFramePr>
        <xdr:cNvPr id="31"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2324100</xdr:colOff>
      <xdr:row>99</xdr:row>
      <xdr:rowOff>2362200</xdr:rowOff>
    </xdr:from>
    <xdr:to>
      <xdr:col>12</xdr:col>
      <xdr:colOff>1143000</xdr:colOff>
      <xdr:row>101</xdr:row>
      <xdr:rowOff>2400300</xdr:rowOff>
    </xdr:to>
    <xdr:graphicFrame macro="">
      <xdr:nvGraphicFramePr>
        <xdr:cNvPr id="32"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1828800</xdr:colOff>
      <xdr:row>69</xdr:row>
      <xdr:rowOff>152400</xdr:rowOff>
    </xdr:from>
    <xdr:to>
      <xdr:col>12</xdr:col>
      <xdr:colOff>952500</xdr:colOff>
      <xdr:row>88</xdr:row>
      <xdr:rowOff>723900</xdr:rowOff>
    </xdr:to>
    <xdr:graphicFrame macro="">
      <xdr:nvGraphicFramePr>
        <xdr:cNvPr id="33" name="Gráfico 32">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38100</xdr:colOff>
      <xdr:row>69</xdr:row>
      <xdr:rowOff>495300</xdr:rowOff>
    </xdr:from>
    <xdr:to>
      <xdr:col>6</xdr:col>
      <xdr:colOff>2933700</xdr:colOff>
      <xdr:row>86</xdr:row>
      <xdr:rowOff>114300</xdr:rowOff>
    </xdr:to>
    <xdr:graphicFrame macro="">
      <xdr:nvGraphicFramePr>
        <xdr:cNvPr id="34"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2895600</xdr:colOff>
      <xdr:row>25</xdr:row>
      <xdr:rowOff>76200</xdr:rowOff>
    </xdr:from>
    <xdr:to>
      <xdr:col>12</xdr:col>
      <xdr:colOff>1066800</xdr:colOff>
      <xdr:row>42</xdr:row>
      <xdr:rowOff>0</xdr:rowOff>
    </xdr:to>
    <xdr:graphicFrame macro="">
      <xdr:nvGraphicFramePr>
        <xdr:cNvPr id="35" name="Gráfico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43</xdr:row>
      <xdr:rowOff>2286000</xdr:rowOff>
    </xdr:from>
    <xdr:to>
      <xdr:col>6</xdr:col>
      <xdr:colOff>2400300</xdr:colOff>
      <xdr:row>57</xdr:row>
      <xdr:rowOff>304800</xdr:rowOff>
    </xdr:to>
    <xdr:graphicFrame macro="">
      <xdr:nvGraphicFramePr>
        <xdr:cNvPr id="36" name="Gráfico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1943100</xdr:colOff>
      <xdr:row>43</xdr:row>
      <xdr:rowOff>1638300</xdr:rowOff>
    </xdr:from>
    <xdr:to>
      <xdr:col>12</xdr:col>
      <xdr:colOff>1295400</xdr:colOff>
      <xdr:row>56</xdr:row>
      <xdr:rowOff>457200</xdr:rowOff>
    </xdr:to>
    <xdr:graphicFrame macro="">
      <xdr:nvGraphicFramePr>
        <xdr:cNvPr id="37" name="Gráfico 36">
          <a:extLst>
            <a:ext uri="{FF2B5EF4-FFF2-40B4-BE49-F238E27FC236}">
              <a16:creationId xmlns:a16="http://schemas.microsoft.com/office/drawing/2014/main"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2133600</xdr:colOff>
      <xdr:row>92</xdr:row>
      <xdr:rowOff>228600</xdr:rowOff>
    </xdr:from>
    <xdr:to>
      <xdr:col>12</xdr:col>
      <xdr:colOff>762000</xdr:colOff>
      <xdr:row>99</xdr:row>
      <xdr:rowOff>2133600</xdr:rowOff>
    </xdr:to>
    <xdr:graphicFrame macro="">
      <xdr:nvGraphicFramePr>
        <xdr:cNvPr id="38"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31</xdr:col>
      <xdr:colOff>0</xdr:colOff>
      <xdr:row>9</xdr:row>
      <xdr:rowOff>0</xdr:rowOff>
    </xdr:from>
    <xdr:to>
      <xdr:col>62</xdr:col>
      <xdr:colOff>723900</xdr:colOff>
      <xdr:row>21</xdr:row>
      <xdr:rowOff>1531677</xdr:rowOff>
    </xdr:to>
    <xdr:pic>
      <xdr:nvPicPr>
        <xdr:cNvPr id="39" name="chart">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7"/>
        <a:stretch>
          <a:fillRect/>
        </a:stretch>
      </xdr:blipFill>
      <xdr:spPr>
        <a:xfrm>
          <a:off x="95545275" y="9153525"/>
          <a:ext cx="24345900" cy="9189777"/>
        </a:xfrm>
        <a:prstGeom prst="rect">
          <a:avLst/>
        </a:prstGeom>
      </xdr:spPr>
    </xdr:pic>
    <xdr:clientData/>
  </xdr:twoCellAnchor>
  <xdr:twoCellAnchor>
    <xdr:from>
      <xdr:col>56</xdr:col>
      <xdr:colOff>514348</xdr:colOff>
      <xdr:row>32</xdr:row>
      <xdr:rowOff>0</xdr:rowOff>
    </xdr:from>
    <xdr:to>
      <xdr:col>76</xdr:col>
      <xdr:colOff>266700</xdr:colOff>
      <xdr:row>43</xdr:row>
      <xdr:rowOff>0</xdr:rowOff>
    </xdr:to>
    <xdr:graphicFrame macro="">
      <xdr:nvGraphicFramePr>
        <xdr:cNvPr id="40" name="Gráfico 39">
          <a:extLst>
            <a:ext uri="{FF2B5EF4-FFF2-40B4-BE49-F238E27FC236}">
              <a16:creationId xmlns:a16="http://schemas.microsoft.com/office/drawing/2014/main"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28</xdr:col>
      <xdr:colOff>381000</xdr:colOff>
      <xdr:row>42</xdr:row>
      <xdr:rowOff>707384</xdr:rowOff>
    </xdr:from>
    <xdr:to>
      <xdr:col>31</xdr:col>
      <xdr:colOff>138466</xdr:colOff>
      <xdr:row>44</xdr:row>
      <xdr:rowOff>266700</xdr:rowOff>
    </xdr:to>
    <xdr:pic>
      <xdr:nvPicPr>
        <xdr:cNvPr id="41" name="Imagen 40"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29">
          <a:duotone>
            <a:prstClr val="black"/>
            <a:srgbClr val="92D050">
              <a:tint val="45000"/>
              <a:satMod val="400000"/>
            </a:srgbClr>
          </a:duotone>
          <a:extLst>
            <a:ext uri="{BEBA8EAE-BF5A-486C-A8C5-ECC9F3942E4B}">
              <a14:imgProps xmlns:a14="http://schemas.microsoft.com/office/drawing/2010/main">
                <a14:imgLayer r:embed="rId30">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93640275" y="33987734"/>
          <a:ext cx="2043466" cy="4264666"/>
        </a:xfrm>
        <a:prstGeom prst="rect">
          <a:avLst/>
        </a:prstGeom>
      </xdr:spPr>
    </xdr:pic>
    <xdr:clientData/>
  </xdr:twoCellAnchor>
  <xdr:twoCellAnchor editAs="oneCell">
    <xdr:from>
      <xdr:col>31</xdr:col>
      <xdr:colOff>599993</xdr:colOff>
      <xdr:row>42</xdr:row>
      <xdr:rowOff>952500</xdr:rowOff>
    </xdr:from>
    <xdr:to>
      <xdr:col>36</xdr:col>
      <xdr:colOff>495301</xdr:colOff>
      <xdr:row>53</xdr:row>
      <xdr:rowOff>485775</xdr:rowOff>
    </xdr:to>
    <xdr:pic>
      <xdr:nvPicPr>
        <xdr:cNvPr id="42" name="Imagen 41"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31">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96145268" y="34232850"/>
          <a:ext cx="3705308" cy="9058275"/>
        </a:xfrm>
        <a:prstGeom prst="rect">
          <a:avLst/>
        </a:prstGeom>
      </xdr:spPr>
    </xdr:pic>
    <xdr:clientData/>
  </xdr:twoCellAnchor>
  <xdr:twoCellAnchor editAs="oneCell">
    <xdr:from>
      <xdr:col>8</xdr:col>
      <xdr:colOff>2114550</xdr:colOff>
      <xdr:row>95</xdr:row>
      <xdr:rowOff>0</xdr:rowOff>
    </xdr:from>
    <xdr:to>
      <xdr:col>9</xdr:col>
      <xdr:colOff>2476499</xdr:colOff>
      <xdr:row>98</xdr:row>
      <xdr:rowOff>533400</xdr:rowOff>
    </xdr:to>
    <xdr:pic>
      <xdr:nvPicPr>
        <xdr:cNvPr id="43" name="Imagen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5556825" y="78981300"/>
          <a:ext cx="2771774" cy="2876550"/>
        </a:xfrm>
        <a:prstGeom prst="rect">
          <a:avLst/>
        </a:prstGeom>
      </xdr:spPr>
    </xdr:pic>
    <xdr:clientData/>
  </xdr:twoCellAnchor>
  <xdr:twoCellAnchor editAs="oneCell">
    <xdr:from>
      <xdr:col>7</xdr:col>
      <xdr:colOff>2321701</xdr:colOff>
      <xdr:row>95</xdr:row>
      <xdr:rowOff>130950</xdr:rowOff>
    </xdr:from>
    <xdr:to>
      <xdr:col>8</xdr:col>
      <xdr:colOff>1390651</xdr:colOff>
      <xdr:row>98</xdr:row>
      <xdr:rowOff>511791</xdr:rowOff>
    </xdr:to>
    <xdr:pic>
      <xdr:nvPicPr>
        <xdr:cNvPr id="44" name="Imagen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2163526" y="79112250"/>
          <a:ext cx="2669400" cy="2723991"/>
        </a:xfrm>
        <a:prstGeom prst="rect">
          <a:avLst/>
        </a:prstGeom>
        <a:noFill/>
        <a:ln>
          <a:noFill/>
        </a:ln>
      </xdr:spPr>
    </xdr:pic>
    <xdr:clientData/>
  </xdr:twoCellAnchor>
  <xdr:twoCellAnchor editAs="oneCell">
    <xdr:from>
      <xdr:col>81</xdr:col>
      <xdr:colOff>285750</xdr:colOff>
      <xdr:row>21</xdr:row>
      <xdr:rowOff>1619250</xdr:rowOff>
    </xdr:from>
    <xdr:to>
      <xdr:col>100</xdr:col>
      <xdr:colOff>34978</xdr:colOff>
      <xdr:row>32</xdr:row>
      <xdr:rowOff>114299</xdr:rowOff>
    </xdr:to>
    <xdr:pic>
      <xdr:nvPicPr>
        <xdr:cNvPr id="45" name="Imagen 44" descr="Gráfica del día: Hombres y mujeres que se consideran feministas en México">
          <a:extLst>
            <a:ext uri="{FF2B5EF4-FFF2-40B4-BE49-F238E27FC236}">
              <a16:creationId xmlns:a16="http://schemas.microsoft.com/office/drawing/2014/main" id="{00000000-0008-0000-0700-00002D000000}"/>
            </a:ext>
          </a:extLst>
        </xdr:cNvPr>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2467" r="1307" b="20262"/>
        <a:stretch/>
      </xdr:blipFill>
      <xdr:spPr bwMode="auto">
        <a:xfrm>
          <a:off x="133931025" y="18430875"/>
          <a:ext cx="14227228" cy="892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133350</xdr:colOff>
      <xdr:row>21</xdr:row>
      <xdr:rowOff>1390650</xdr:rowOff>
    </xdr:from>
    <xdr:to>
      <xdr:col>77</xdr:col>
      <xdr:colOff>95250</xdr:colOff>
      <xdr:row>29</xdr:row>
      <xdr:rowOff>526600</xdr:rowOff>
    </xdr:to>
    <xdr:pic>
      <xdr:nvPicPr>
        <xdr:cNvPr id="46" name="Imagen 45" descr="El estado de los derechos de la mujer en el mundo en 8 gráficos">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15490625" y="18202275"/>
          <a:ext cx="15201900" cy="764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86</xdr:row>
      <xdr:rowOff>0</xdr:rowOff>
    </xdr:from>
    <xdr:to>
      <xdr:col>14</xdr:col>
      <xdr:colOff>304800</xdr:colOff>
      <xdr:row>86</xdr:row>
      <xdr:rowOff>304800</xdr:rowOff>
    </xdr:to>
    <xdr:sp macro="" textlink="">
      <xdr:nvSpPr>
        <xdr:cNvPr id="47" name="AutoShape 1" descr="Gráfico">
          <a:extLst>
            <a:ext uri="{FF2B5EF4-FFF2-40B4-BE49-F238E27FC236}">
              <a16:creationId xmlns:a16="http://schemas.microsoft.com/office/drawing/2014/main" id="{00000000-0008-0000-0700-00002F000000}"/>
            </a:ext>
          </a:extLst>
        </xdr:cNvPr>
        <xdr:cNvSpPr>
          <a:spLocks noChangeAspect="1" noChangeArrowheads="1"/>
        </xdr:cNvSpPr>
      </xdr:nvSpPr>
      <xdr:spPr bwMode="auto">
        <a:xfrm>
          <a:off x="49329975" y="679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60</xdr:col>
      <xdr:colOff>271736</xdr:colOff>
      <xdr:row>43</xdr:row>
      <xdr:rowOff>1333500</xdr:rowOff>
    </xdr:from>
    <xdr:to>
      <xdr:col>77</xdr:col>
      <xdr:colOff>19049</xdr:colOff>
      <xdr:row>61</xdr:row>
      <xdr:rowOff>99286</xdr:rowOff>
    </xdr:to>
    <xdr:pic>
      <xdr:nvPicPr>
        <xdr:cNvPr id="48" name="Imagen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6"/>
        <a:stretch>
          <a:fillRect/>
        </a:stretch>
      </xdr:blipFill>
      <xdr:spPr>
        <a:xfrm>
          <a:off x="117915011" y="36452175"/>
          <a:ext cx="12701313" cy="13662886"/>
        </a:xfrm>
        <a:prstGeom prst="rect">
          <a:avLst/>
        </a:prstGeom>
      </xdr:spPr>
    </xdr:pic>
    <xdr:clientData/>
  </xdr:twoCellAnchor>
  <xdr:twoCellAnchor>
    <xdr:from>
      <xdr:col>3</xdr:col>
      <xdr:colOff>1219200</xdr:colOff>
      <xdr:row>6</xdr:row>
      <xdr:rowOff>609600</xdr:rowOff>
    </xdr:from>
    <xdr:to>
      <xdr:col>5</xdr:col>
      <xdr:colOff>5905500</xdr:colOff>
      <xdr:row>18</xdr:row>
      <xdr:rowOff>419100</xdr:rowOff>
    </xdr:to>
    <xdr:grpSp>
      <xdr:nvGrpSpPr>
        <xdr:cNvPr id="49" name="Grupo 48">
          <a:extLst>
            <a:ext uri="{FF2B5EF4-FFF2-40B4-BE49-F238E27FC236}">
              <a16:creationId xmlns:a16="http://schemas.microsoft.com/office/drawing/2014/main" id="{00000000-0008-0000-0700-000031000000}"/>
            </a:ext>
          </a:extLst>
        </xdr:cNvPr>
        <xdr:cNvGrpSpPr/>
      </xdr:nvGrpSpPr>
      <xdr:grpSpPr>
        <a:xfrm>
          <a:off x="9324975" y="7962900"/>
          <a:ext cx="11753850" cy="7772400"/>
          <a:chOff x="1714500" y="13449300"/>
          <a:chExt cx="11963400" cy="8877300"/>
        </a:xfrm>
      </xdr:grpSpPr>
      <xdr:pic>
        <xdr:nvPicPr>
          <xdr:cNvPr id="50" name="Imagen 49" descr="Relación entre hombre y mujer en el trabajo Igualdad entre ...">
            <a:extLst>
              <a:ext uri="{FF2B5EF4-FFF2-40B4-BE49-F238E27FC236}">
                <a16:creationId xmlns:a16="http://schemas.microsoft.com/office/drawing/2014/main" id="{00000000-0008-0000-0700-000032000000}"/>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8188" t="12641" r="8187" b="7581"/>
          <a:stretch/>
        </xdr:blipFill>
        <xdr:spPr bwMode="auto">
          <a:xfrm>
            <a:off x="1714500" y="14858999"/>
            <a:ext cx="11963400" cy="7467601"/>
          </a:xfrm>
          <a:prstGeom prst="rect">
            <a:avLst/>
          </a:prstGeom>
          <a:noFill/>
          <a:extLst>
            <a:ext uri="{909E8E84-426E-40DD-AFC4-6F175D3DCCD1}">
              <a14:hiddenFill xmlns:a14="http://schemas.microsoft.com/office/drawing/2010/main">
                <a:solidFill>
                  <a:srgbClr val="FFFFFF"/>
                </a:solidFill>
              </a14:hiddenFill>
            </a:ext>
          </a:extLst>
        </xdr:spPr>
      </xdr:pic>
      <xdr:sp macro="" textlink="$T$32">
        <xdr:nvSpPr>
          <xdr:cNvPr id="51" name="CuadroTexto 50">
            <a:extLst>
              <a:ext uri="{FF2B5EF4-FFF2-40B4-BE49-F238E27FC236}">
                <a16:creationId xmlns:a16="http://schemas.microsoft.com/office/drawing/2014/main" id="{00000000-0008-0000-0700-000033000000}"/>
              </a:ext>
            </a:extLst>
          </xdr:cNvPr>
          <xdr:cNvSpPr txBox="1"/>
        </xdr:nvSpPr>
        <xdr:spPr>
          <a:xfrm>
            <a:off x="2743200" y="13449300"/>
            <a:ext cx="4572000" cy="163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92AC0EF-EC71-4CF0-A25A-0AA51F9B9761}" type="TxLink">
              <a:rPr lang="en-US" sz="8000" b="1" i="0" u="none" strike="noStrike">
                <a:solidFill>
                  <a:srgbClr val="000000"/>
                </a:solidFill>
                <a:latin typeface="Arial Narrow"/>
                <a:cs typeface="Arial" panose="020B0604020202020204" pitchFamily="34" charset="0"/>
              </a:rPr>
              <a:pPr algn="ctr"/>
              <a:t>49.7%</a:t>
            </a:fld>
            <a:endParaRPr lang="es-DO" sz="8000" b="1">
              <a:latin typeface="Arial" panose="020B0604020202020204" pitchFamily="34" charset="0"/>
              <a:cs typeface="Arial" panose="020B0604020202020204" pitchFamily="34" charset="0"/>
            </a:endParaRPr>
          </a:p>
        </xdr:txBody>
      </xdr:sp>
      <xdr:sp macro="" textlink="$T$33">
        <xdr:nvSpPr>
          <xdr:cNvPr id="52" name="CuadroTexto 51">
            <a:extLst>
              <a:ext uri="{FF2B5EF4-FFF2-40B4-BE49-F238E27FC236}">
                <a16:creationId xmlns:a16="http://schemas.microsoft.com/office/drawing/2014/main" id="{00000000-0008-0000-0700-000034000000}"/>
              </a:ext>
            </a:extLst>
          </xdr:cNvPr>
          <xdr:cNvSpPr txBox="1"/>
        </xdr:nvSpPr>
        <xdr:spPr>
          <a:xfrm>
            <a:off x="8343900" y="13601700"/>
            <a:ext cx="4572000" cy="163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0D5AD4D-B700-47BC-9778-FBF0A7E0A2BA}" type="TxLink">
              <a:rPr lang="en-US" sz="8000" b="1" i="0" u="none" strike="noStrike">
                <a:solidFill>
                  <a:srgbClr val="000000"/>
                </a:solidFill>
                <a:latin typeface="Arial Narrow"/>
                <a:cs typeface="Arial" panose="020B0604020202020204" pitchFamily="34" charset="0"/>
              </a:rPr>
              <a:pPr algn="ctr"/>
              <a:t>50.3%</a:t>
            </a:fld>
            <a:endParaRPr lang="es-DO" sz="59500" b="1">
              <a:latin typeface="Arial" panose="020B0604020202020204" pitchFamily="34" charset="0"/>
              <a:cs typeface="Arial" panose="020B0604020202020204" pitchFamily="34" charset="0"/>
            </a:endParaRPr>
          </a:p>
        </xdr:txBody>
      </xdr:sp>
    </xdr:grpSp>
    <xdr:clientData/>
  </xdr:twoCellAnchor>
  <xdr:twoCellAnchor>
    <xdr:from>
      <xdr:col>6</xdr:col>
      <xdr:colOff>1562100</xdr:colOff>
      <xdr:row>19</xdr:row>
      <xdr:rowOff>38100</xdr:rowOff>
    </xdr:from>
    <xdr:to>
      <xdr:col>12</xdr:col>
      <xdr:colOff>1562100</xdr:colOff>
      <xdr:row>26</xdr:row>
      <xdr:rowOff>152400</xdr:rowOff>
    </xdr:to>
    <xdr:graphicFrame macro="">
      <xdr:nvGraphicFramePr>
        <xdr:cNvPr id="53" name="Gráfico 5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43</xdr:row>
      <xdr:rowOff>381000</xdr:rowOff>
    </xdr:from>
    <xdr:to>
      <xdr:col>13</xdr:col>
      <xdr:colOff>38100</xdr:colOff>
      <xdr:row>43</xdr:row>
      <xdr:rowOff>1790700</xdr:rowOff>
    </xdr:to>
    <xdr:sp macro="" textlink="">
      <xdr:nvSpPr>
        <xdr:cNvPr id="54" name="Rectángulo redondeado 53">
          <a:extLst>
            <a:ext uri="{FF2B5EF4-FFF2-40B4-BE49-F238E27FC236}">
              <a16:creationId xmlns:a16="http://schemas.microsoft.com/office/drawing/2014/main" id="{00000000-0008-0000-0900-00002D000000}"/>
            </a:ext>
          </a:extLst>
        </xdr:cNvPr>
        <xdr:cNvSpPr/>
      </xdr:nvSpPr>
      <xdr:spPr>
        <a:xfrm>
          <a:off x="0" y="35499675"/>
          <a:ext cx="46558200" cy="1409700"/>
        </a:xfrm>
        <a:prstGeom prst="roundRect">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de Vejez Discapacidad y Sobrevivencia</a:t>
          </a:r>
          <a:r>
            <a:rPr lang="es-DO" sz="5400" b="1" baseline="0">
              <a:latin typeface="Arial" panose="020B0604020202020204" pitchFamily="34" charset="0"/>
              <a:cs typeface="Arial" panose="020B0604020202020204" pitchFamily="34" charset="0"/>
            </a:rPr>
            <a:t> (SVDS)</a:t>
          </a:r>
          <a:endParaRPr lang="es-DO" sz="5400" b="1">
            <a:latin typeface="Arial" panose="020B0604020202020204" pitchFamily="34" charset="0"/>
            <a:cs typeface="Arial" panose="020B0604020202020204" pitchFamily="34" charset="0"/>
          </a:endParaRPr>
        </a:p>
      </xdr:txBody>
    </xdr:sp>
    <xdr:clientData/>
  </xdr:twoCellAnchor>
  <xdr:twoCellAnchor>
    <xdr:from>
      <xdr:col>0</xdr:col>
      <xdr:colOff>0</xdr:colOff>
      <xdr:row>89</xdr:row>
      <xdr:rowOff>381000</xdr:rowOff>
    </xdr:from>
    <xdr:to>
      <xdr:col>13</xdr:col>
      <xdr:colOff>38100</xdr:colOff>
      <xdr:row>91</xdr:row>
      <xdr:rowOff>419100</xdr:rowOff>
    </xdr:to>
    <xdr:sp macro="" textlink="">
      <xdr:nvSpPr>
        <xdr:cNvPr id="55" name="Rectángulo redondeado 54">
          <a:extLst>
            <a:ext uri="{FF2B5EF4-FFF2-40B4-BE49-F238E27FC236}">
              <a16:creationId xmlns:a16="http://schemas.microsoft.com/office/drawing/2014/main" id="{00000000-0008-0000-0900-00002D000000}"/>
            </a:ext>
          </a:extLst>
        </xdr:cNvPr>
        <xdr:cNvSpPr/>
      </xdr:nvSpPr>
      <xdr:spPr>
        <a:xfrm>
          <a:off x="0" y="70465950"/>
          <a:ext cx="46558200" cy="13811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de Riesgos Laborales (SRL)</a:t>
          </a:r>
        </a:p>
      </xdr:txBody>
    </xdr:sp>
    <xdr:clientData/>
  </xdr:twoCellAnchor>
  <xdr:twoCellAnchor editAs="oneCell">
    <xdr:from>
      <xdr:col>15</xdr:col>
      <xdr:colOff>76200</xdr:colOff>
      <xdr:row>100</xdr:row>
      <xdr:rowOff>0</xdr:rowOff>
    </xdr:from>
    <xdr:to>
      <xdr:col>15</xdr:col>
      <xdr:colOff>1585506</xdr:colOff>
      <xdr:row>100</xdr:row>
      <xdr:rowOff>2971800</xdr:rowOff>
    </xdr:to>
    <xdr:pic>
      <xdr:nvPicPr>
        <xdr:cNvPr id="56" name="Imagen 55">
          <a:extLst>
            <a:ext uri="{FF2B5EF4-FFF2-40B4-BE49-F238E27FC236}">
              <a16:creationId xmlns:a16="http://schemas.microsoft.com/office/drawing/2014/main" id="{00000000-0008-0000-0700-000038000000}"/>
            </a:ext>
          </a:extLst>
        </xdr:cNvPr>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r="49212"/>
        <a:stretch/>
      </xdr:blipFill>
      <xdr:spPr>
        <a:xfrm>
          <a:off x="60274200" y="87325200"/>
          <a:ext cx="1509306" cy="2971800"/>
        </a:xfrm>
        <a:prstGeom prst="rect">
          <a:avLst/>
        </a:prstGeom>
      </xdr:spPr>
    </xdr:pic>
    <xdr:clientData/>
  </xdr:twoCellAnchor>
  <xdr:twoCellAnchor editAs="oneCell">
    <xdr:from>
      <xdr:col>6</xdr:col>
      <xdr:colOff>5715000</xdr:colOff>
      <xdr:row>50</xdr:row>
      <xdr:rowOff>266700</xdr:rowOff>
    </xdr:from>
    <xdr:to>
      <xdr:col>7</xdr:col>
      <xdr:colOff>123116</xdr:colOff>
      <xdr:row>53</xdr:row>
      <xdr:rowOff>685800</xdr:rowOff>
    </xdr:to>
    <xdr:pic>
      <xdr:nvPicPr>
        <xdr:cNvPr id="57" name="Imagen 56">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7708225" y="41300400"/>
          <a:ext cx="2256716" cy="2190750"/>
        </a:xfrm>
        <a:prstGeom prst="rect">
          <a:avLst/>
        </a:prstGeom>
      </xdr:spPr>
    </xdr:pic>
    <xdr:clientData/>
  </xdr:twoCellAnchor>
  <xdr:twoCellAnchor editAs="oneCell">
    <xdr:from>
      <xdr:col>8</xdr:col>
      <xdr:colOff>1140601</xdr:colOff>
      <xdr:row>51</xdr:row>
      <xdr:rowOff>264301</xdr:rowOff>
    </xdr:from>
    <xdr:to>
      <xdr:col>9</xdr:col>
      <xdr:colOff>685801</xdr:colOff>
      <xdr:row>53</xdr:row>
      <xdr:rowOff>990601</xdr:rowOff>
    </xdr:to>
    <xdr:pic>
      <xdr:nvPicPr>
        <xdr:cNvPr id="58" name="Imagen 57">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4582876" y="41888551"/>
          <a:ext cx="1955025" cy="1907400"/>
        </a:xfrm>
        <a:prstGeom prst="rect">
          <a:avLst/>
        </a:prstGeom>
      </xdr:spPr>
    </xdr:pic>
    <xdr:clientData/>
  </xdr:twoCellAnchor>
  <xdr:twoCellAnchor editAs="oneCell">
    <xdr:from>
      <xdr:col>14</xdr:col>
      <xdr:colOff>6853201</xdr:colOff>
      <xdr:row>43</xdr:row>
      <xdr:rowOff>0</xdr:rowOff>
    </xdr:from>
    <xdr:to>
      <xdr:col>14</xdr:col>
      <xdr:colOff>9258301</xdr:colOff>
      <xdr:row>43</xdr:row>
      <xdr:rowOff>2405100</xdr:rowOff>
    </xdr:to>
    <xdr:pic>
      <xdr:nvPicPr>
        <xdr:cNvPr id="59" name="Imagen 58">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56183176" y="35118675"/>
          <a:ext cx="2405100" cy="2405100"/>
        </a:xfrm>
        <a:prstGeom prst="rect">
          <a:avLst/>
        </a:prstGeom>
      </xdr:spPr>
    </xdr:pic>
    <xdr:clientData/>
  </xdr:twoCellAnchor>
  <xdr:twoCellAnchor editAs="oneCell">
    <xdr:from>
      <xdr:col>13</xdr:col>
      <xdr:colOff>450000</xdr:colOff>
      <xdr:row>43</xdr:row>
      <xdr:rowOff>450000</xdr:rowOff>
    </xdr:from>
    <xdr:to>
      <xdr:col>13</xdr:col>
      <xdr:colOff>754802</xdr:colOff>
      <xdr:row>43</xdr:row>
      <xdr:rowOff>754802</xdr:rowOff>
    </xdr:to>
    <xdr:pic>
      <xdr:nvPicPr>
        <xdr:cNvPr id="60" name="Imagen 59">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6970100" y="35568675"/>
          <a:ext cx="304802" cy="304802"/>
        </a:xfrm>
        <a:prstGeom prst="rect">
          <a:avLst/>
        </a:prstGeom>
      </xdr:spPr>
    </xdr:pic>
    <xdr:clientData/>
  </xdr:twoCellAnchor>
  <xdr:twoCellAnchor editAs="oneCell">
    <xdr:from>
      <xdr:col>10</xdr:col>
      <xdr:colOff>1181100</xdr:colOff>
      <xdr:row>52</xdr:row>
      <xdr:rowOff>152400</xdr:rowOff>
    </xdr:from>
    <xdr:to>
      <xdr:col>11</xdr:col>
      <xdr:colOff>762000</xdr:colOff>
      <xdr:row>53</xdr:row>
      <xdr:rowOff>1943100</xdr:rowOff>
    </xdr:to>
    <xdr:pic>
      <xdr:nvPicPr>
        <xdr:cNvPr id="61" name="Imagen 6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0719375" y="42367200"/>
          <a:ext cx="2409825" cy="2381250"/>
        </a:xfrm>
        <a:prstGeom prst="rect">
          <a:avLst/>
        </a:prstGeom>
      </xdr:spPr>
    </xdr:pic>
    <xdr:clientData/>
  </xdr:twoCellAnchor>
  <xdr:twoCellAnchor editAs="oneCell">
    <xdr:from>
      <xdr:col>41</xdr:col>
      <xdr:colOff>54750</xdr:colOff>
      <xdr:row>43</xdr:row>
      <xdr:rowOff>0</xdr:rowOff>
    </xdr:from>
    <xdr:to>
      <xdr:col>51</xdr:col>
      <xdr:colOff>245250</xdr:colOff>
      <xdr:row>52</xdr:row>
      <xdr:rowOff>571500</xdr:rowOff>
    </xdr:to>
    <xdr:pic>
      <xdr:nvPicPr>
        <xdr:cNvPr id="62" name="Imagen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03220025" y="35118675"/>
          <a:ext cx="7810500" cy="7667625"/>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0.00601</cdr:x>
      <cdr:y>0.88446</cdr:y>
    </cdr:from>
    <cdr:to>
      <cdr:x>0.9526</cdr:x>
      <cdr:y>1</cdr:y>
    </cdr:to>
    <cdr:sp macro="" textlink="">
      <cdr:nvSpPr>
        <cdr:cNvPr id="2" name="CuadroTexto 1"/>
        <cdr:cNvSpPr txBox="1"/>
      </cdr:nvSpPr>
      <cdr:spPr>
        <a:xfrm xmlns:a="http://schemas.openxmlformats.org/drawingml/2006/main">
          <a:off x="119995" y="8458201"/>
          <a:ext cx="18898101" cy="11048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SISALRIL/CNSS</a:t>
          </a:r>
        </a:p>
        <a:p xmlns:a="http://schemas.openxmlformats.org/drawingml/2006/main">
          <a:r>
            <a:rPr lang="en-US" sz="3200" b="1">
              <a:latin typeface="Arial" panose="020B0604020202020204" pitchFamily="34" charset="0"/>
              <a:cs typeface="Arial" panose="020B0604020202020204" pitchFamily="34" charset="0"/>
            </a:rPr>
            <a:t>Indice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46.xml><?xml version="1.0" encoding="utf-8"?>
<c:userShapes xmlns:c="http://schemas.openxmlformats.org/drawingml/2006/chart">
  <cdr:relSizeAnchor xmlns:cdr="http://schemas.openxmlformats.org/drawingml/2006/chartDrawing">
    <cdr:from>
      <cdr:x>0.11888</cdr:x>
      <cdr:y>0.91588</cdr:y>
    </cdr:from>
    <cdr:to>
      <cdr:x>0.40944</cdr:x>
      <cdr:y>0.95773</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879600" y="11061700"/>
          <a:ext cx="4594187" cy="5054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0.03779</cdr:x>
      <cdr:y>0.90226</cdr:y>
    </cdr:from>
    <cdr:to>
      <cdr:x>0.45886</cdr:x>
      <cdr:y>0.96454</cdr:y>
    </cdr:to>
    <cdr:sp macro="" textlink="">
      <cdr:nvSpPr>
        <cdr:cNvPr id="2" name="CuadroTexto 1"/>
        <cdr:cNvSpPr txBox="1"/>
      </cdr:nvSpPr>
      <cdr:spPr>
        <a:xfrm xmlns:a="http://schemas.openxmlformats.org/drawingml/2006/main">
          <a:off x="767413" y="9694051"/>
          <a:ext cx="8550795" cy="669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48.xml><?xml version="1.0" encoding="utf-8"?>
<c:userShapes xmlns:c="http://schemas.openxmlformats.org/drawingml/2006/chart">
  <cdr:relSizeAnchor xmlns:cdr="http://schemas.openxmlformats.org/drawingml/2006/chartDrawing">
    <cdr:from>
      <cdr:x>0.06584</cdr:x>
      <cdr:y>0.93688</cdr:y>
    </cdr:from>
    <cdr:to>
      <cdr:x>0.44128</cdr:x>
      <cdr:y>1</cdr:y>
    </cdr:to>
    <cdr:sp macro="" textlink="">
      <cdr:nvSpPr>
        <cdr:cNvPr id="2" name="CuadroTexto 1"/>
        <cdr:cNvSpPr txBox="1"/>
      </cdr:nvSpPr>
      <cdr:spPr>
        <a:xfrm xmlns:a="http://schemas.openxmlformats.org/drawingml/2006/main">
          <a:off x="1409700" y="11279660"/>
          <a:ext cx="8038996" cy="759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49.xml><?xml version="1.0" encoding="utf-8"?>
<c:userShapes xmlns:c="http://schemas.openxmlformats.org/drawingml/2006/chart">
  <cdr:relSizeAnchor xmlns:cdr="http://schemas.openxmlformats.org/drawingml/2006/chartDrawing">
    <cdr:from>
      <cdr:x>0.04678</cdr:x>
      <cdr:y>0.90145</cdr:y>
    </cdr:from>
    <cdr:to>
      <cdr:x>0.4619</cdr:x>
      <cdr:y>0.96417</cdr:y>
    </cdr:to>
    <cdr:sp macro="" textlink="">
      <cdr:nvSpPr>
        <cdr:cNvPr id="2" name="CuadroTexto 1"/>
        <cdr:cNvSpPr txBox="1"/>
      </cdr:nvSpPr>
      <cdr:spPr>
        <a:xfrm xmlns:a="http://schemas.openxmlformats.org/drawingml/2006/main">
          <a:off x="1147929" y="10543983"/>
          <a:ext cx="10185550" cy="73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5.xml><?xml version="1.0" encoding="utf-8"?>
<c:userShapes xmlns:c="http://schemas.openxmlformats.org/drawingml/2006/chart">
  <cdr:relSizeAnchor xmlns:cdr="http://schemas.openxmlformats.org/drawingml/2006/chartDrawing">
    <cdr:from>
      <cdr:x>0.04118</cdr:x>
      <cdr:y>0.92234</cdr:y>
    </cdr:from>
    <cdr:to>
      <cdr:x>0.46225</cdr:x>
      <cdr:y>0.98462</cdr:y>
    </cdr:to>
    <cdr:sp macro="" textlink="">
      <cdr:nvSpPr>
        <cdr:cNvPr id="2" name="CuadroTexto 1"/>
        <cdr:cNvSpPr txBox="1"/>
      </cdr:nvSpPr>
      <cdr:spPr>
        <a:xfrm xmlns:a="http://schemas.openxmlformats.org/drawingml/2006/main">
          <a:off x="767221" y="11420818"/>
          <a:ext cx="7844913" cy="7711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50.xml><?xml version="1.0" encoding="utf-8"?>
<c:userShapes xmlns:c="http://schemas.openxmlformats.org/drawingml/2006/chart">
  <cdr:relSizeAnchor xmlns:cdr="http://schemas.openxmlformats.org/drawingml/2006/chartDrawing">
    <cdr:from>
      <cdr:x>0.07196</cdr:x>
      <cdr:y>0.95073</cdr:y>
    </cdr:from>
    <cdr:to>
      <cdr:x>0.41162</cdr:x>
      <cdr:y>0.99194</cdr:y>
    </cdr:to>
    <cdr:sp macro="" textlink="">
      <cdr:nvSpPr>
        <cdr:cNvPr id="2"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485900" y="13474926"/>
          <a:ext cx="7014224" cy="5839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0.02808</cdr:x>
      <cdr:y>0.93606</cdr:y>
    </cdr:from>
    <cdr:to>
      <cdr:x>0.34624</cdr:x>
      <cdr:y>0.97792</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432277" y="11305427"/>
          <a:ext cx="4897245" cy="505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0.04959</cdr:x>
      <cdr:y>0.9303</cdr:y>
    </cdr:from>
    <cdr:to>
      <cdr:x>0.48537</cdr:x>
      <cdr:y>0.99373</cdr:y>
    </cdr:to>
    <cdr:sp macro="" textlink="">
      <cdr:nvSpPr>
        <cdr:cNvPr id="2" name="CuadroTexto 1"/>
        <cdr:cNvSpPr txBox="1"/>
      </cdr:nvSpPr>
      <cdr:spPr>
        <a:xfrm xmlns:a="http://schemas.openxmlformats.org/drawingml/2006/main">
          <a:off x="1027725" y="11306778"/>
          <a:ext cx="9032150" cy="770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53.xml><?xml version="1.0" encoding="utf-8"?>
<c:userShapes xmlns:c="http://schemas.openxmlformats.org/drawingml/2006/chart">
  <cdr:relSizeAnchor xmlns:cdr="http://schemas.openxmlformats.org/drawingml/2006/chartDrawing">
    <cdr:from>
      <cdr:x>0.01047</cdr:x>
      <cdr:y>0.86493</cdr:y>
    </cdr:from>
    <cdr:to>
      <cdr:x>0.46388</cdr:x>
      <cdr:y>0.9252</cdr:y>
    </cdr:to>
    <cdr:sp macro="" textlink="">
      <cdr:nvSpPr>
        <cdr:cNvPr id="4" name="CuadroTexto 1"/>
        <cdr:cNvSpPr txBox="1"/>
      </cdr:nvSpPr>
      <cdr:spPr>
        <a:xfrm xmlns:a="http://schemas.openxmlformats.org/drawingml/2006/main">
          <a:off x="233669" y="11533823"/>
          <a:ext cx="10123104" cy="803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IDOPPRIL</a:t>
          </a:r>
        </a:p>
      </cdr:txBody>
    </cdr:sp>
  </cdr:relSizeAnchor>
</c:userShapes>
</file>

<file path=xl/drawings/drawing5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IDOPRILL</a:t>
          </a:r>
        </a:p>
      </cdr:txBody>
    </cdr:sp>
  </cdr:relSizeAnchor>
</c:userShapes>
</file>

<file path=xl/drawings/drawing5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IDOPPRIL</a:t>
          </a:r>
        </a:p>
      </cdr:txBody>
    </cdr:sp>
  </cdr:relSizeAnchor>
</c:userShapes>
</file>

<file path=xl/drawings/drawing56.xml><?xml version="1.0" encoding="utf-8"?>
<c:userShapes xmlns:c="http://schemas.openxmlformats.org/drawingml/2006/chart">
  <cdr:relSizeAnchor xmlns:cdr="http://schemas.openxmlformats.org/drawingml/2006/chartDrawing">
    <cdr:from>
      <cdr:x>0.04223</cdr:x>
      <cdr:y>0.86735</cdr:y>
    </cdr:from>
    <cdr:to>
      <cdr:x>0.4298</cdr:x>
      <cdr:y>0.99681</cdr:y>
    </cdr:to>
    <cdr:sp macro="" textlink="">
      <cdr:nvSpPr>
        <cdr:cNvPr id="2" name="CuadroTexto 1"/>
        <cdr:cNvSpPr txBox="1"/>
      </cdr:nvSpPr>
      <cdr:spPr>
        <a:xfrm xmlns:a="http://schemas.openxmlformats.org/drawingml/2006/main">
          <a:off x="946025" y="9715501"/>
          <a:ext cx="8682653" cy="1450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000" b="1"/>
            <a:t>Fuente: </a:t>
          </a:r>
          <a:r>
            <a:rPr lang="es-DO" sz="4000"/>
            <a:t>SIPEN</a:t>
          </a:r>
        </a:p>
        <a:p xmlns:a="http://schemas.openxmlformats.org/drawingml/2006/main">
          <a:r>
            <a:rPr lang="es-DO" sz="4000"/>
            <a:t>**Dato a junio</a:t>
          </a:r>
          <a:r>
            <a:rPr lang="es-DO" sz="4000" baseline="0"/>
            <a:t> </a:t>
          </a:r>
          <a:r>
            <a:rPr lang="es-DO" sz="4000"/>
            <a:t>2024</a:t>
          </a:r>
        </a:p>
      </cdr:txBody>
    </cdr:sp>
  </cdr:relSizeAnchor>
</c:userShapes>
</file>

<file path=xl/drawings/drawing57.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4000" b="1">
              <a:latin typeface="+mn-lt"/>
              <a:ea typeface="+mn-ea"/>
              <a:cs typeface="+mn-cs"/>
            </a:rPr>
            <a:t>Fuente: </a:t>
          </a:r>
          <a:r>
            <a:rPr lang="en-US" sz="4000">
              <a:latin typeface="+mn-lt"/>
              <a:ea typeface="+mn-ea"/>
              <a:cs typeface="+mn-cs"/>
            </a:rPr>
            <a:t>SIPEN </a:t>
          </a:r>
          <a:endParaRPr lang="en-US" sz="4000"/>
        </a:p>
        <a:p xmlns:a="http://schemas.openxmlformats.org/drawingml/2006/main">
          <a:endParaRPr lang="en-US" sz="4400"/>
        </a:p>
      </cdr:txBody>
    </cdr:sp>
  </cdr:relSizeAnchor>
</c:userShapes>
</file>

<file path=xl/drawings/drawing58.xml><?xml version="1.0" encoding="utf-8"?>
<c:userShapes xmlns:c="http://schemas.openxmlformats.org/drawingml/2006/chart">
  <cdr:relSizeAnchor xmlns:cdr="http://schemas.openxmlformats.org/drawingml/2006/chartDrawing">
    <cdr:from>
      <cdr:x>0.03389</cdr:x>
      <cdr:y>0.9268</cdr:y>
    </cdr:from>
    <cdr:to>
      <cdr:x>0.26353</cdr:x>
      <cdr:y>0.99394</cdr:y>
    </cdr:to>
    <cdr:sp macro="" textlink="">
      <cdr:nvSpPr>
        <cdr:cNvPr id="3" name="1 CuadroTexto"/>
        <cdr:cNvSpPr txBox="1"/>
      </cdr:nvSpPr>
      <cdr:spPr>
        <a:xfrm xmlns:a="http://schemas.openxmlformats.org/drawingml/2006/main">
          <a:off x="774700" y="9004300"/>
          <a:ext cx="5249627" cy="652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TSS</a:t>
          </a:r>
        </a:p>
      </cdr:txBody>
    </cdr:sp>
  </cdr:relSizeAnchor>
</c:userShapes>
</file>

<file path=xl/drawings/drawing59.xml><?xml version="1.0" encoding="utf-8"?>
<c:userShapes xmlns:c="http://schemas.openxmlformats.org/drawingml/2006/chart">
  <cdr:relSizeAnchor xmlns:cdr="http://schemas.openxmlformats.org/drawingml/2006/chartDrawing">
    <cdr:from>
      <cdr:x>0.03373</cdr:x>
      <cdr:y>0.90866</cdr:y>
    </cdr:from>
    <cdr:to>
      <cdr:x>0.3025</cdr:x>
      <cdr:y>0.97237</cdr:y>
    </cdr:to>
    <cdr:sp macro="" textlink="">
      <cdr:nvSpPr>
        <cdr:cNvPr id="2" name="CuadroTexto 1"/>
        <cdr:cNvSpPr txBox="1"/>
      </cdr:nvSpPr>
      <cdr:spPr>
        <a:xfrm xmlns:a="http://schemas.openxmlformats.org/drawingml/2006/main">
          <a:off x="965200" y="9728200"/>
          <a:ext cx="7690142" cy="6820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6.xml><?xml version="1.0" encoding="utf-8"?>
<c:userShapes xmlns:c="http://schemas.openxmlformats.org/drawingml/2006/chart">
  <cdr:relSizeAnchor xmlns:cdr="http://schemas.openxmlformats.org/drawingml/2006/chartDrawing">
    <cdr:from>
      <cdr:x>0.02429</cdr:x>
      <cdr:y>0.91452</cdr:y>
    </cdr:from>
    <cdr:to>
      <cdr:x>0.42012</cdr:x>
      <cdr:y>0.99237</cdr:y>
    </cdr:to>
    <cdr:sp macro="" textlink="">
      <cdr:nvSpPr>
        <cdr:cNvPr id="2" name="CuadroTexto 1"/>
        <cdr:cNvSpPr txBox="1"/>
      </cdr:nvSpPr>
      <cdr:spPr>
        <a:xfrm xmlns:a="http://schemas.openxmlformats.org/drawingml/2006/main">
          <a:off x="431306" y="8919850"/>
          <a:ext cx="7027803" cy="759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60.xml><?xml version="1.0" encoding="utf-8"?>
<c:userShapes xmlns:c="http://schemas.openxmlformats.org/drawingml/2006/chart">
  <cdr:relSizeAnchor xmlns:cdr="http://schemas.openxmlformats.org/drawingml/2006/chartDrawing">
    <cdr:from>
      <cdr:x>0.04672</cdr:x>
      <cdr:y>0.94314</cdr:y>
    </cdr:from>
    <cdr:to>
      <cdr:x>0.3449</cdr:x>
      <cdr:y>1</cdr:y>
    </cdr:to>
    <cdr:sp macro="" textlink="">
      <cdr:nvSpPr>
        <cdr:cNvPr id="9" name="CuadroTexto 1"/>
        <cdr:cNvSpPr txBox="1"/>
      </cdr:nvSpPr>
      <cdr:spPr>
        <a:xfrm xmlns:a="http://schemas.openxmlformats.org/drawingml/2006/main">
          <a:off x="1041400" y="9019373"/>
          <a:ext cx="6645849" cy="5437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0.01139</cdr:x>
      <cdr:y>0.94406</cdr:y>
    </cdr:from>
    <cdr:to>
      <cdr:x>0.44231</cdr:x>
      <cdr:y>1</cdr:y>
    </cdr:to>
    <cdr:sp macro="" textlink="">
      <cdr:nvSpPr>
        <cdr:cNvPr id="2" name="CuadroTexto 1"/>
        <cdr:cNvSpPr txBox="1"/>
      </cdr:nvSpPr>
      <cdr:spPr>
        <a:xfrm xmlns:a="http://schemas.openxmlformats.org/drawingml/2006/main">
          <a:off x="241300" y="12013540"/>
          <a:ext cx="9128334" cy="711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62.xml><?xml version="1.0" encoding="utf-8"?>
<xdr:wsDr xmlns:xdr="http://schemas.openxmlformats.org/drawingml/2006/spreadsheetDrawing" xmlns:a="http://schemas.openxmlformats.org/drawingml/2006/main">
  <xdr:twoCellAnchor>
    <xdr:from>
      <xdr:col>2</xdr:col>
      <xdr:colOff>54430</xdr:colOff>
      <xdr:row>3</xdr:row>
      <xdr:rowOff>26906</xdr:rowOff>
    </xdr:from>
    <xdr:to>
      <xdr:col>18</xdr:col>
      <xdr:colOff>816429</xdr:colOff>
      <xdr:row>6</xdr:row>
      <xdr:rowOff>122465</xdr:rowOff>
    </xdr:to>
    <xdr:sp macro="" textlink="">
      <xdr:nvSpPr>
        <xdr:cNvPr id="2" name="Rectángulo redondeado 1">
          <a:extLst>
            <a:ext uri="{FF2B5EF4-FFF2-40B4-BE49-F238E27FC236}">
              <a16:creationId xmlns:a16="http://schemas.microsoft.com/office/drawing/2014/main" id="{00000000-0008-0000-0A00-000002000000}"/>
            </a:ext>
          </a:extLst>
        </xdr:cNvPr>
        <xdr:cNvSpPr/>
      </xdr:nvSpPr>
      <xdr:spPr>
        <a:xfrm>
          <a:off x="263980" y="1303256"/>
          <a:ext cx="14678024" cy="762309"/>
        </a:xfrm>
        <a:prstGeom prst="roundRect">
          <a:avLst/>
        </a:prstGeom>
        <a:solidFill>
          <a:schemeClr val="accent6">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oneCellAnchor>
    <xdr:from>
      <xdr:col>4</xdr:col>
      <xdr:colOff>432955</xdr:colOff>
      <xdr:row>12</xdr:row>
      <xdr:rowOff>155864</xdr:rowOff>
    </xdr:from>
    <xdr:ext cx="184731" cy="264560"/>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747280" y="3241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4</xdr:col>
      <xdr:colOff>0</xdr:colOff>
      <xdr:row>0</xdr:row>
      <xdr:rowOff>144611</xdr:rowOff>
    </xdr:from>
    <xdr:to>
      <xdr:col>5</xdr:col>
      <xdr:colOff>614174</xdr:colOff>
      <xdr:row>1</xdr:row>
      <xdr:rowOff>394609</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4611"/>
          <a:ext cx="1376174" cy="821498"/>
        </a:xfrm>
        <a:prstGeom prst="rect">
          <a:avLst/>
        </a:prstGeom>
      </xdr:spPr>
    </xdr:pic>
    <xdr:clientData/>
  </xdr:twoCellAnchor>
  <xdr:twoCellAnchor>
    <xdr:from>
      <xdr:col>3</xdr:col>
      <xdr:colOff>0</xdr:colOff>
      <xdr:row>10</xdr:row>
      <xdr:rowOff>95250</xdr:rowOff>
    </xdr:from>
    <xdr:to>
      <xdr:col>11</xdr:col>
      <xdr:colOff>503464</xdr:colOff>
      <xdr:row>35</xdr:row>
      <xdr:rowOff>122464</xdr:rowOff>
    </xdr:to>
    <xdr:grpSp>
      <xdr:nvGrpSpPr>
        <xdr:cNvPr id="5" name="Grupo 4">
          <a:extLst>
            <a:ext uri="{FF2B5EF4-FFF2-40B4-BE49-F238E27FC236}">
              <a16:creationId xmlns:a16="http://schemas.microsoft.com/office/drawing/2014/main" id="{00000000-0008-0000-0A00-000005000000}"/>
            </a:ext>
          </a:extLst>
        </xdr:cNvPr>
        <xdr:cNvGrpSpPr/>
      </xdr:nvGrpSpPr>
      <xdr:grpSpPr>
        <a:xfrm>
          <a:off x="314325" y="2800350"/>
          <a:ext cx="7132864" cy="5713639"/>
          <a:chOff x="1088878" y="1625541"/>
          <a:chExt cx="4034527" cy="2442022"/>
        </a:xfrm>
      </xdr:grpSpPr>
      <xdr:graphicFrame macro="">
        <xdr:nvGraphicFramePr>
          <xdr:cNvPr id="6" name="Gráfico 5">
            <a:extLst>
              <a:ext uri="{FF2B5EF4-FFF2-40B4-BE49-F238E27FC236}">
                <a16:creationId xmlns:a16="http://schemas.microsoft.com/office/drawing/2014/main" id="{00000000-0008-0000-0A00-000006000000}"/>
              </a:ext>
            </a:extLst>
          </xdr:cNvPr>
          <xdr:cNvGraphicFramePr/>
        </xdr:nvGraphicFramePr>
        <xdr:xfrm>
          <a:off x="1114936" y="2275271"/>
          <a:ext cx="1994763" cy="179229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Gráfico 6">
            <a:extLst>
              <a:ext uri="{FF2B5EF4-FFF2-40B4-BE49-F238E27FC236}">
                <a16:creationId xmlns:a16="http://schemas.microsoft.com/office/drawing/2014/main" id="{00000000-0008-0000-0A00-000007000000}"/>
              </a:ext>
            </a:extLst>
          </xdr:cNvPr>
          <xdr:cNvGraphicFramePr>
            <a:graphicFrameLocks/>
          </xdr:cNvGraphicFramePr>
        </xdr:nvGraphicFramePr>
        <xdr:xfrm>
          <a:off x="3053443" y="2275880"/>
          <a:ext cx="1970568" cy="1695859"/>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8" name="Rectángulo 7">
            <a:extLst>
              <a:ext uri="{FF2B5EF4-FFF2-40B4-BE49-F238E27FC236}">
                <a16:creationId xmlns:a16="http://schemas.microsoft.com/office/drawing/2014/main" id="{00000000-0008-0000-0A00-000008000000}"/>
              </a:ext>
            </a:extLst>
          </xdr:cNvPr>
          <xdr:cNvSpPr/>
        </xdr:nvSpPr>
        <xdr:spPr>
          <a:xfrm>
            <a:off x="3574340" y="2758421"/>
            <a:ext cx="950754" cy="6618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ysClr val="windowText" lastClr="000000"/>
                </a:solidFill>
                <a:latin typeface="Bahnschrift SemiLight SemiConde" panose="020B0502040204020203" pitchFamily="34" charset="0"/>
              </a:rPr>
              <a:t>RS</a:t>
            </a:r>
          </a:p>
          <a:p>
            <a:pPr algn="ctr"/>
            <a:r>
              <a:rPr lang="es-DO" sz="1800" b="1">
                <a:solidFill>
                  <a:sysClr val="windowText" lastClr="000000"/>
                </a:solidFill>
                <a:latin typeface="Bahnschrift SemiLight SemiConde" panose="020B0502040204020203" pitchFamily="34" charset="0"/>
              </a:rPr>
              <a:t> 49.70%</a:t>
            </a:r>
          </a:p>
          <a:p>
            <a:pPr algn="ctr"/>
            <a:r>
              <a:rPr lang="es-DO" sz="1800" b="1">
                <a:solidFill>
                  <a:sysClr val="windowText" lastClr="000000"/>
                </a:solidFill>
                <a:latin typeface="Bahnschrift SemiLight SemiConde" panose="020B0502040204020203" pitchFamily="34" charset="0"/>
              </a:rPr>
              <a:t>Masculino</a:t>
            </a:r>
          </a:p>
        </xdr:txBody>
      </xdr:sp>
      <xdr:sp macro="" textlink="">
        <xdr:nvSpPr>
          <xdr:cNvPr id="9" name="Rectángulo 8">
            <a:extLst>
              <a:ext uri="{FF2B5EF4-FFF2-40B4-BE49-F238E27FC236}">
                <a16:creationId xmlns:a16="http://schemas.microsoft.com/office/drawing/2014/main" id="{00000000-0008-0000-0A00-000009000000}"/>
              </a:ext>
            </a:extLst>
          </xdr:cNvPr>
          <xdr:cNvSpPr/>
        </xdr:nvSpPr>
        <xdr:spPr>
          <a:xfrm>
            <a:off x="1088878" y="1625541"/>
            <a:ext cx="4034527" cy="500155"/>
          </a:xfrm>
          <a:prstGeom prst="rect">
            <a:avLst/>
          </a:prstGeom>
          <a:solidFill>
            <a:schemeClr val="bg1"/>
          </a:solidFill>
          <a:ln>
            <a:noFill/>
          </a:ln>
          <a:effectLst>
            <a:innerShdw blurRad="63500" dist="50800" dir="5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baseline="0">
                <a:solidFill>
                  <a:schemeClr val="accent4">
                    <a:lumMod val="50000"/>
                  </a:schemeClr>
                </a:solidFill>
                <a:latin typeface="Bahnschrift SemiLight SemiConde" panose="020B0502040204020203" pitchFamily="34" charset="0"/>
                <a:ea typeface="+mn-ea"/>
                <a:cs typeface="+mn-cs"/>
              </a:rPr>
              <a:t>Afiliación por Régimen del Seguro Familiar de Salud  (SFS)</a:t>
            </a:r>
          </a:p>
        </xdr:txBody>
      </xdr:sp>
      <xdr:sp macro="" textlink="">
        <xdr:nvSpPr>
          <xdr:cNvPr id="10" name="Rectángulo 9">
            <a:extLst>
              <a:ext uri="{FF2B5EF4-FFF2-40B4-BE49-F238E27FC236}">
                <a16:creationId xmlns:a16="http://schemas.microsoft.com/office/drawing/2014/main" id="{00000000-0008-0000-0A00-00000A000000}"/>
              </a:ext>
            </a:extLst>
          </xdr:cNvPr>
          <xdr:cNvSpPr/>
        </xdr:nvSpPr>
        <xdr:spPr>
          <a:xfrm>
            <a:off x="1624317" y="2759631"/>
            <a:ext cx="915145" cy="605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ysClr val="windowText" lastClr="000000"/>
                </a:solidFill>
                <a:latin typeface="Bahnschrift SemiLight SemiConde" panose="020B0502040204020203" pitchFamily="34" charset="0"/>
              </a:rPr>
              <a:t>RC </a:t>
            </a:r>
          </a:p>
          <a:p>
            <a:pPr algn="ctr"/>
            <a:r>
              <a:rPr lang="es-DO" sz="1800" b="1">
                <a:solidFill>
                  <a:sysClr val="windowText" lastClr="000000"/>
                </a:solidFill>
                <a:latin typeface="Bahnschrift SemiLight SemiConde" panose="020B0502040204020203" pitchFamily="34" charset="0"/>
                <a:ea typeface="+mn-ea"/>
                <a:cs typeface="+mn-cs"/>
              </a:rPr>
              <a:t>50.18</a:t>
            </a:r>
            <a:r>
              <a:rPr lang="es-DO" sz="1800" b="1">
                <a:solidFill>
                  <a:sysClr val="windowText" lastClr="000000"/>
                </a:solidFill>
                <a:latin typeface="Bahnschrift SemiLight SemiConde" panose="020B0502040204020203" pitchFamily="34" charset="0"/>
              </a:rPr>
              <a:t>%</a:t>
            </a:r>
          </a:p>
          <a:p>
            <a:pPr algn="ctr"/>
            <a:r>
              <a:rPr lang="es-DO" sz="1800" b="1">
                <a:solidFill>
                  <a:sysClr val="windowText" lastClr="000000"/>
                </a:solidFill>
                <a:latin typeface="Bahnschrift SemiLight SemiConde" panose="020B0502040204020203" pitchFamily="34" charset="0"/>
              </a:rPr>
              <a:t>Femenino</a:t>
            </a:r>
          </a:p>
        </xdr:txBody>
      </xdr:sp>
    </xdr:grpSp>
    <xdr:clientData/>
  </xdr:twoCellAnchor>
  <xdr:twoCellAnchor>
    <xdr:from>
      <xdr:col>11</xdr:col>
      <xdr:colOff>367394</xdr:colOff>
      <xdr:row>36</xdr:row>
      <xdr:rowOff>108858</xdr:rowOff>
    </xdr:from>
    <xdr:to>
      <xdr:col>18</xdr:col>
      <xdr:colOff>666752</xdr:colOff>
      <xdr:row>62</xdr:row>
      <xdr:rowOff>68034</xdr:rowOff>
    </xdr:to>
    <xdr:grpSp>
      <xdr:nvGrpSpPr>
        <xdr:cNvPr id="11" name="Grupo 10">
          <a:extLst>
            <a:ext uri="{FF2B5EF4-FFF2-40B4-BE49-F238E27FC236}">
              <a16:creationId xmlns:a16="http://schemas.microsoft.com/office/drawing/2014/main" id="{00000000-0008-0000-0A00-00000B000000}"/>
            </a:ext>
          </a:extLst>
        </xdr:cNvPr>
        <xdr:cNvGrpSpPr/>
      </xdr:nvGrpSpPr>
      <xdr:grpSpPr>
        <a:xfrm>
          <a:off x="7311119" y="8690883"/>
          <a:ext cx="7481208" cy="5407476"/>
          <a:chOff x="921138" y="1617317"/>
          <a:chExt cx="4054359" cy="1977449"/>
        </a:xfrm>
      </xdr:grpSpPr>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1039084" y="2254636"/>
          <a:ext cx="2192595" cy="134013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3" name="Gráfico 12">
            <a:extLst>
              <a:ext uri="{FF2B5EF4-FFF2-40B4-BE49-F238E27FC236}">
                <a16:creationId xmlns:a16="http://schemas.microsoft.com/office/drawing/2014/main" id="{00000000-0008-0000-0A00-00000D000000}"/>
              </a:ext>
            </a:extLst>
          </xdr:cNvPr>
          <xdr:cNvGraphicFramePr>
            <a:graphicFrameLocks/>
          </xdr:cNvGraphicFramePr>
        </xdr:nvGraphicFramePr>
        <xdr:xfrm>
          <a:off x="2970592" y="2086359"/>
          <a:ext cx="1914525" cy="1488957"/>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4" name="Rectángulo 13">
            <a:extLst>
              <a:ext uri="{FF2B5EF4-FFF2-40B4-BE49-F238E27FC236}">
                <a16:creationId xmlns:a16="http://schemas.microsoft.com/office/drawing/2014/main" id="{00000000-0008-0000-0A00-00000E000000}"/>
              </a:ext>
            </a:extLst>
          </xdr:cNvPr>
          <xdr:cNvSpPr/>
        </xdr:nvSpPr>
        <xdr:spPr>
          <a:xfrm>
            <a:off x="3548678" y="2576890"/>
            <a:ext cx="894145" cy="5008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DO" sz="1800">
                <a:solidFill>
                  <a:sysClr val="windowText" lastClr="000000"/>
                </a:solidFill>
                <a:latin typeface="Bahnschrift SemiLight SemiConde" panose="020B0502040204020203" pitchFamily="34" charset="0"/>
              </a:rPr>
              <a:t>Afiliados  54.59%</a:t>
            </a:r>
          </a:p>
          <a:p>
            <a:pPr algn="ctr"/>
            <a:r>
              <a:rPr lang="es-DO" sz="1800">
                <a:solidFill>
                  <a:sysClr val="windowText" lastClr="000000"/>
                </a:solidFill>
                <a:latin typeface="Bahnschrift SemiLight SemiConde" panose="020B0502040204020203" pitchFamily="34" charset="0"/>
              </a:rPr>
              <a:t>Masculino</a:t>
            </a:r>
          </a:p>
        </xdr:txBody>
      </xdr:sp>
      <xdr:sp macro="" textlink="">
        <xdr:nvSpPr>
          <xdr:cNvPr id="15" name="Rectángulo 14">
            <a:extLst>
              <a:ext uri="{FF2B5EF4-FFF2-40B4-BE49-F238E27FC236}">
                <a16:creationId xmlns:a16="http://schemas.microsoft.com/office/drawing/2014/main" id="{00000000-0008-0000-0A00-00000F000000}"/>
              </a:ext>
            </a:extLst>
          </xdr:cNvPr>
          <xdr:cNvSpPr/>
        </xdr:nvSpPr>
        <xdr:spPr>
          <a:xfrm>
            <a:off x="921138" y="1617317"/>
            <a:ext cx="4054359" cy="479774"/>
          </a:xfrm>
          <a:prstGeom prst="rect">
            <a:avLst/>
          </a:prstGeom>
          <a:solidFill>
            <a:schemeClr val="bg1"/>
          </a:solidFill>
          <a:ln>
            <a:noFill/>
          </a:ln>
          <a:effectLst>
            <a:innerShdw blurRad="63500" dist="50800" dir="5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accent4">
                    <a:lumMod val="50000"/>
                  </a:schemeClr>
                </a:solidFill>
                <a:latin typeface="Bahnschrift SemiLight SemiConde" panose="020B0502040204020203" pitchFamily="34" charset="0"/>
              </a:rPr>
              <a:t>Cotizantes</a:t>
            </a:r>
            <a:r>
              <a:rPr lang="es-DO" sz="1800" b="1" baseline="0">
                <a:solidFill>
                  <a:schemeClr val="accent4">
                    <a:lumMod val="50000"/>
                  </a:schemeClr>
                </a:solidFill>
                <a:latin typeface="Bahnschrift SemiLight SemiConde" panose="020B0502040204020203" pitchFamily="34" charset="0"/>
              </a:rPr>
              <a:t> del Seguro de Vejez Discapacidad y Sobrevivencia (SVDS)</a:t>
            </a:r>
            <a:endParaRPr lang="es-DO" sz="1800" b="1">
              <a:solidFill>
                <a:schemeClr val="accent4">
                  <a:lumMod val="50000"/>
                </a:schemeClr>
              </a:solidFill>
              <a:latin typeface="Bahnschrift SemiLight SemiConde" panose="020B0502040204020203" pitchFamily="34" charset="0"/>
            </a:endParaRPr>
          </a:p>
        </xdr:txBody>
      </xdr:sp>
      <xdr:sp macro="" textlink="">
        <xdr:nvSpPr>
          <xdr:cNvPr id="16" name="Rectángulo 15">
            <a:extLst>
              <a:ext uri="{FF2B5EF4-FFF2-40B4-BE49-F238E27FC236}">
                <a16:creationId xmlns:a16="http://schemas.microsoft.com/office/drawing/2014/main" id="{00000000-0008-0000-0A00-000010000000}"/>
              </a:ext>
            </a:extLst>
          </xdr:cNvPr>
          <xdr:cNvSpPr/>
        </xdr:nvSpPr>
        <xdr:spPr>
          <a:xfrm>
            <a:off x="1608544" y="2714971"/>
            <a:ext cx="885317" cy="5209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DO" sz="1800">
                <a:solidFill>
                  <a:sysClr val="windowText" lastClr="000000"/>
                </a:solidFill>
                <a:latin typeface="Bahnschrift SemiLight SemiConde" panose="020B0502040204020203" pitchFamily="34" charset="0"/>
              </a:rPr>
              <a:t>Cotizantes 48.0%</a:t>
            </a:r>
          </a:p>
          <a:p>
            <a:pPr algn="ctr"/>
            <a:r>
              <a:rPr lang="es-DO" sz="1800">
                <a:solidFill>
                  <a:sysClr val="windowText" lastClr="000000"/>
                </a:solidFill>
                <a:latin typeface="Bahnschrift SemiLight SemiConde" panose="020B0502040204020203" pitchFamily="34" charset="0"/>
              </a:rPr>
              <a:t>Femenino</a:t>
            </a:r>
          </a:p>
          <a:p>
            <a:pPr algn="ctr"/>
            <a:endParaRPr lang="es-DO" sz="1800">
              <a:solidFill>
                <a:sysClr val="windowText" lastClr="000000"/>
              </a:solidFill>
              <a:latin typeface="Bahnschrift SemiLight SemiConde" panose="020B0502040204020203" pitchFamily="34" charset="0"/>
            </a:endParaRPr>
          </a:p>
        </xdr:txBody>
      </xdr:sp>
    </xdr:grpSp>
    <xdr:clientData/>
  </xdr:twoCellAnchor>
  <xdr:twoCellAnchor>
    <xdr:from>
      <xdr:col>11</xdr:col>
      <xdr:colOff>319147</xdr:colOff>
      <xdr:row>9</xdr:row>
      <xdr:rowOff>176893</xdr:rowOff>
    </xdr:from>
    <xdr:to>
      <xdr:col>18</xdr:col>
      <xdr:colOff>761999</xdr:colOff>
      <xdr:row>36</xdr:row>
      <xdr:rowOff>86591</xdr:rowOff>
    </xdr:to>
    <xdr:graphicFrame macro="">
      <xdr:nvGraphicFramePr>
        <xdr:cNvPr id="1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84766</xdr:colOff>
      <xdr:row>39</xdr:row>
      <xdr:rowOff>0</xdr:rowOff>
    </xdr:from>
    <xdr:to>
      <xdr:col>11</xdr:col>
      <xdr:colOff>122464</xdr:colOff>
      <xdr:row>62</xdr:row>
      <xdr:rowOff>27214</xdr:rowOff>
    </xdr:to>
    <xdr:graphicFrame macro="">
      <xdr:nvGraphicFramePr>
        <xdr:cNvPr id="18"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36</xdr:row>
      <xdr:rowOff>121665</xdr:rowOff>
    </xdr:from>
    <xdr:to>
      <xdr:col>11</xdr:col>
      <xdr:colOff>272143</xdr:colOff>
      <xdr:row>40</xdr:row>
      <xdr:rowOff>176893</xdr:rowOff>
    </xdr:to>
    <xdr:sp macro="" textlink="">
      <xdr:nvSpPr>
        <xdr:cNvPr id="19" name="Rectángulo 18">
          <a:extLst>
            <a:ext uri="{FF2B5EF4-FFF2-40B4-BE49-F238E27FC236}">
              <a16:creationId xmlns:a16="http://schemas.microsoft.com/office/drawing/2014/main" id="{00000000-0008-0000-0A00-000013000000}"/>
            </a:ext>
          </a:extLst>
        </xdr:cNvPr>
        <xdr:cNvSpPr/>
      </xdr:nvSpPr>
      <xdr:spPr>
        <a:xfrm>
          <a:off x="314325" y="7941690"/>
          <a:ext cx="6901543" cy="1007728"/>
        </a:xfrm>
        <a:prstGeom prst="rect">
          <a:avLst/>
        </a:prstGeom>
        <a:solidFill>
          <a:schemeClr val="bg1"/>
        </a:solidFill>
        <a:ln>
          <a:noFill/>
        </a:ln>
        <a:effectLst>
          <a:innerShdw blurRad="63500" dist="50800" dir="5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DO" sz="1800" b="1">
              <a:solidFill>
                <a:schemeClr val="accent4">
                  <a:lumMod val="50000"/>
                </a:schemeClr>
              </a:solidFill>
              <a:latin typeface="Bahnschrift SemiLight SemiConde" panose="020B0502040204020203" pitchFamily="34" charset="0"/>
            </a:rPr>
            <a:t>Afiliación al SRL por Grupo de Edad y Género</a:t>
          </a:r>
        </a:p>
      </xdr:txBody>
    </xdr:sp>
    <xdr:clientData/>
  </xdr:twoCellAnchor>
  <xdr:twoCellAnchor>
    <xdr:from>
      <xdr:col>4</xdr:col>
      <xdr:colOff>136073</xdr:colOff>
      <xdr:row>3</xdr:row>
      <xdr:rowOff>81641</xdr:rowOff>
    </xdr:from>
    <xdr:to>
      <xdr:col>7</xdr:col>
      <xdr:colOff>163286</xdr:colOff>
      <xdr:row>9</xdr:row>
      <xdr:rowOff>27213</xdr:rowOff>
    </xdr:to>
    <xdr:sp macro="" textlink="">
      <xdr:nvSpPr>
        <xdr:cNvPr id="20" name="Rectángulo 19">
          <a:extLst>
            <a:ext uri="{FF2B5EF4-FFF2-40B4-BE49-F238E27FC236}">
              <a16:creationId xmlns:a16="http://schemas.microsoft.com/office/drawing/2014/main" id="{00000000-0008-0000-0A00-000014000000}"/>
            </a:ext>
          </a:extLst>
        </xdr:cNvPr>
        <xdr:cNvSpPr/>
      </xdr:nvSpPr>
      <xdr:spPr>
        <a:xfrm>
          <a:off x="450398" y="1357991"/>
          <a:ext cx="3008538" cy="1183822"/>
        </a:xfrm>
        <a:prstGeom prst="rect">
          <a:avLst/>
        </a:prstGeom>
        <a:solidFill>
          <a:schemeClr val="bg1"/>
        </a:solidFill>
        <a:ln>
          <a:noFill/>
        </a:ln>
        <a:effectLst>
          <a:innerShdw blurRad="63500" dist="50800" dir="5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DO" sz="1600" b="1">
              <a:solidFill>
                <a:sysClr val="windowText" lastClr="000000"/>
              </a:solidFill>
              <a:latin typeface="Bahnschrift SemiLight SemiConde" panose="020B0502040204020203" pitchFamily="34" charset="0"/>
            </a:rPr>
            <a:t>Cobertura </a:t>
          </a:r>
          <a:r>
            <a:rPr lang="es-DO" sz="1600" b="1" baseline="0">
              <a:solidFill>
                <a:sysClr val="windowText" lastClr="000000"/>
              </a:solidFill>
              <a:latin typeface="Bahnschrift SemiLight SemiConde" panose="020B0502040204020203" pitchFamily="34" charset="0"/>
            </a:rPr>
            <a:t>Femenina SFS</a:t>
          </a:r>
        </a:p>
        <a:p>
          <a:pPr algn="ctr"/>
          <a:endParaRPr lang="es-DO" sz="700" b="1" baseline="0">
            <a:solidFill>
              <a:sysClr val="windowText" lastClr="000000"/>
            </a:solidFill>
            <a:latin typeface="Bahnschrift SemiLight SemiConde" panose="020B0502040204020203" pitchFamily="34" charset="0"/>
          </a:endParaRPr>
        </a:p>
        <a:p>
          <a:pPr algn="ctr"/>
          <a:r>
            <a:rPr lang="es-DO" sz="3200" b="1" baseline="0">
              <a:solidFill>
                <a:sysClr val="windowText" lastClr="000000"/>
              </a:solidFill>
              <a:latin typeface="Bahnschrift SemiLight SemiConde" panose="020B0502040204020203" pitchFamily="34" charset="0"/>
            </a:rPr>
            <a:t>50.25%</a:t>
          </a:r>
          <a:endParaRPr lang="es-DO" sz="3200" b="1">
            <a:solidFill>
              <a:sysClr val="windowText" lastClr="000000"/>
            </a:solidFill>
            <a:latin typeface="Bahnschrift SemiLight SemiConde" panose="020B0502040204020203" pitchFamily="34" charset="0"/>
          </a:endParaRPr>
        </a:p>
        <a:p>
          <a:pPr algn="ctr"/>
          <a:endParaRPr lang="es-DO" sz="1800" b="1">
            <a:solidFill>
              <a:sysClr val="windowText" lastClr="000000"/>
            </a:solidFill>
            <a:latin typeface="Bahnschrift SemiLight SemiConde" panose="020B0502040204020203" pitchFamily="34" charset="0"/>
          </a:endParaRPr>
        </a:p>
      </xdr:txBody>
    </xdr:sp>
    <xdr:clientData/>
  </xdr:twoCellAnchor>
  <xdr:twoCellAnchor editAs="oneCell">
    <xdr:from>
      <xdr:col>34</xdr:col>
      <xdr:colOff>707574</xdr:colOff>
      <xdr:row>20</xdr:row>
      <xdr:rowOff>2</xdr:rowOff>
    </xdr:from>
    <xdr:to>
      <xdr:col>37</xdr:col>
      <xdr:colOff>557896</xdr:colOff>
      <xdr:row>24</xdr:row>
      <xdr:rowOff>212179</xdr:rowOff>
    </xdr:to>
    <xdr:pic>
      <xdr:nvPicPr>
        <xdr:cNvPr id="21" name="Imagen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8"/>
        <a:stretch>
          <a:fillRect/>
        </a:stretch>
      </xdr:blipFill>
      <xdr:spPr>
        <a:xfrm>
          <a:off x="30644649" y="4229102"/>
          <a:ext cx="4927147" cy="1069427"/>
        </a:xfrm>
        <a:prstGeom prst="rect">
          <a:avLst/>
        </a:prstGeom>
      </xdr:spPr>
    </xdr:pic>
    <xdr:clientData/>
  </xdr:twoCellAnchor>
  <xdr:twoCellAnchor>
    <xdr:from>
      <xdr:col>15</xdr:col>
      <xdr:colOff>138793</xdr:colOff>
      <xdr:row>3</xdr:row>
      <xdr:rowOff>97971</xdr:rowOff>
    </xdr:from>
    <xdr:to>
      <xdr:col>18</xdr:col>
      <xdr:colOff>530678</xdr:colOff>
      <xdr:row>9</xdr:row>
      <xdr:rowOff>31296</xdr:rowOff>
    </xdr:to>
    <xdr:sp macro="" textlink="">
      <xdr:nvSpPr>
        <xdr:cNvPr id="22" name="Rectángulo 21">
          <a:extLst>
            <a:ext uri="{FF2B5EF4-FFF2-40B4-BE49-F238E27FC236}">
              <a16:creationId xmlns:a16="http://schemas.microsoft.com/office/drawing/2014/main" id="{00000000-0008-0000-0A00-000016000000}"/>
            </a:ext>
          </a:extLst>
        </xdr:cNvPr>
        <xdr:cNvSpPr/>
      </xdr:nvSpPr>
      <xdr:spPr>
        <a:xfrm>
          <a:off x="10921093" y="1374321"/>
          <a:ext cx="3735160" cy="1171575"/>
        </a:xfrm>
        <a:prstGeom prst="rect">
          <a:avLst/>
        </a:prstGeom>
        <a:solidFill>
          <a:schemeClr val="bg1"/>
        </a:solidFill>
        <a:ln>
          <a:noFill/>
        </a:ln>
        <a:effectLst>
          <a:innerShdw blurRad="63500" dist="50800" dir="5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DO" sz="1600" b="1">
              <a:solidFill>
                <a:sysClr val="windowText" lastClr="000000"/>
              </a:solidFill>
              <a:latin typeface="Bahnschrift SemiLight SemiConde" panose="020B0502040204020203" pitchFamily="34" charset="0"/>
            </a:rPr>
            <a:t>Indice de Feminidad SFS</a:t>
          </a:r>
        </a:p>
        <a:p>
          <a:pPr algn="ctr"/>
          <a:r>
            <a:rPr lang="es-DO" sz="3200" b="1" baseline="0">
              <a:solidFill>
                <a:sysClr val="windowText" lastClr="000000"/>
              </a:solidFill>
              <a:latin typeface="Bahnschrift SemiLight SemiConde" panose="020B0502040204020203" pitchFamily="34" charset="0"/>
              <a:ea typeface="+mn-ea"/>
              <a:cs typeface="+mn-cs"/>
            </a:rPr>
            <a:t>1.01</a:t>
          </a:r>
        </a:p>
        <a:p>
          <a:pPr algn="ctr"/>
          <a:endParaRPr lang="es-DO" sz="1800" b="1">
            <a:solidFill>
              <a:sysClr val="windowText" lastClr="000000"/>
            </a:solidFill>
            <a:latin typeface="Bahnschrift SemiLight SemiConde" panose="020B0502040204020203" pitchFamily="34" charset="0"/>
          </a:endParaRPr>
        </a:p>
      </xdr:txBody>
    </xdr:sp>
    <xdr:clientData/>
  </xdr:twoCellAnchor>
  <xdr:twoCellAnchor>
    <xdr:from>
      <xdr:col>11</xdr:col>
      <xdr:colOff>231320</xdr:colOff>
      <xdr:row>3</xdr:row>
      <xdr:rowOff>100691</xdr:rowOff>
    </xdr:from>
    <xdr:to>
      <xdr:col>14</xdr:col>
      <xdr:colOff>590549</xdr:colOff>
      <xdr:row>9</xdr:row>
      <xdr:rowOff>27214</xdr:rowOff>
    </xdr:to>
    <xdr:sp macro="" textlink="">
      <xdr:nvSpPr>
        <xdr:cNvPr id="23" name="Rectángulo 22">
          <a:extLst>
            <a:ext uri="{FF2B5EF4-FFF2-40B4-BE49-F238E27FC236}">
              <a16:creationId xmlns:a16="http://schemas.microsoft.com/office/drawing/2014/main" id="{00000000-0008-0000-0A00-000017000000}"/>
            </a:ext>
          </a:extLst>
        </xdr:cNvPr>
        <xdr:cNvSpPr/>
      </xdr:nvSpPr>
      <xdr:spPr>
        <a:xfrm>
          <a:off x="7175045" y="1377041"/>
          <a:ext cx="3435804" cy="1164773"/>
        </a:xfrm>
        <a:prstGeom prst="rect">
          <a:avLst/>
        </a:prstGeom>
        <a:solidFill>
          <a:schemeClr val="bg1"/>
        </a:solidFill>
        <a:ln>
          <a:noFill/>
        </a:ln>
        <a:effectLst>
          <a:innerShdw blurRad="63500" dist="50800" dir="5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DO" sz="1600" b="1">
              <a:solidFill>
                <a:sysClr val="windowText" lastClr="000000"/>
              </a:solidFill>
              <a:latin typeface="Bahnschrift SemiLight SemiConde" panose="020B0502040204020203" pitchFamily="34" charset="0"/>
            </a:rPr>
            <a:t>% </a:t>
          </a:r>
          <a:r>
            <a:rPr lang="es-DO" sz="1600" b="1" baseline="0">
              <a:solidFill>
                <a:sysClr val="windowText" lastClr="000000"/>
              </a:solidFill>
              <a:latin typeface="Bahnschrift SemiLight SemiConde" panose="020B0502040204020203" pitchFamily="34" charset="0"/>
            </a:rPr>
            <a:t>Afiliados Femenino</a:t>
          </a:r>
        </a:p>
        <a:p>
          <a:pPr marL="0" indent="0" algn="ctr"/>
          <a:r>
            <a:rPr lang="es-DO" sz="3200" b="1" baseline="0">
              <a:solidFill>
                <a:sysClr val="windowText" lastClr="000000"/>
              </a:solidFill>
              <a:latin typeface="Bahnschrift SemiLight SemiConde" panose="020B0502040204020203" pitchFamily="34" charset="0"/>
              <a:ea typeface="+mn-ea"/>
              <a:cs typeface="+mn-cs"/>
            </a:rPr>
            <a:t>45.37%</a:t>
          </a:r>
          <a:endParaRPr lang="es-DO" sz="3200" b="1">
            <a:solidFill>
              <a:sysClr val="windowText" lastClr="000000"/>
            </a:solidFill>
            <a:latin typeface="Bahnschrift SemiLight SemiConde" panose="020B0502040204020203" pitchFamily="34" charset="0"/>
          </a:endParaRPr>
        </a:p>
      </xdr:txBody>
    </xdr:sp>
    <xdr:clientData/>
  </xdr:twoCellAnchor>
  <xdr:twoCellAnchor>
    <xdr:from>
      <xdr:col>7</xdr:col>
      <xdr:colOff>525234</xdr:colOff>
      <xdr:row>3</xdr:row>
      <xdr:rowOff>84365</xdr:rowOff>
    </xdr:from>
    <xdr:to>
      <xdr:col>10</xdr:col>
      <xdr:colOff>993322</xdr:colOff>
      <xdr:row>9</xdr:row>
      <xdr:rowOff>54430</xdr:rowOff>
    </xdr:to>
    <xdr:sp macro="" textlink="">
      <xdr:nvSpPr>
        <xdr:cNvPr id="24" name="Rectángulo 23">
          <a:extLst>
            <a:ext uri="{FF2B5EF4-FFF2-40B4-BE49-F238E27FC236}">
              <a16:creationId xmlns:a16="http://schemas.microsoft.com/office/drawing/2014/main" id="{00000000-0008-0000-0A00-000018000000}"/>
            </a:ext>
          </a:extLst>
        </xdr:cNvPr>
        <xdr:cNvSpPr/>
      </xdr:nvSpPr>
      <xdr:spPr>
        <a:xfrm>
          <a:off x="3820884" y="1360715"/>
          <a:ext cx="2944588" cy="1208315"/>
        </a:xfrm>
        <a:prstGeom prst="rect">
          <a:avLst/>
        </a:prstGeom>
        <a:solidFill>
          <a:schemeClr val="bg1"/>
        </a:solidFill>
        <a:ln>
          <a:noFill/>
        </a:ln>
        <a:effectLst>
          <a:innerShdw blurRad="63500" dist="50800" dir="5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s-DO" sz="1600" b="1">
              <a:solidFill>
                <a:sysClr val="windowText" lastClr="000000"/>
              </a:solidFill>
              <a:latin typeface="Bahnschrift SemiLight SemiConde" panose="020B0502040204020203" pitchFamily="34" charset="0"/>
              <a:ea typeface="+mn-ea"/>
              <a:cs typeface="+mn-cs"/>
            </a:rPr>
            <a:t>% Afiliados RS  Femenino</a:t>
          </a:r>
        </a:p>
        <a:p>
          <a:pPr marL="0" indent="0" algn="ctr"/>
          <a:r>
            <a:rPr lang="es-DO" sz="3200" b="1">
              <a:solidFill>
                <a:sysClr val="windowText" lastClr="000000"/>
              </a:solidFill>
              <a:latin typeface="Bahnschrift SemiLight SemiConde" panose="020B0502040204020203" pitchFamily="34" charset="0"/>
              <a:ea typeface="+mn-ea"/>
              <a:cs typeface="+mn-cs"/>
            </a:rPr>
            <a:t>50.30%</a:t>
          </a:r>
        </a:p>
      </xdr:txBody>
    </xdr:sp>
    <xdr:clientData/>
  </xdr:twoCellAnchor>
  <xdr:twoCellAnchor>
    <xdr:from>
      <xdr:col>4</xdr:col>
      <xdr:colOff>0</xdr:colOff>
      <xdr:row>62</xdr:row>
      <xdr:rowOff>-1</xdr:rowOff>
    </xdr:from>
    <xdr:to>
      <xdr:col>11</xdr:col>
      <xdr:colOff>149679</xdr:colOff>
      <xdr:row>105</xdr:row>
      <xdr:rowOff>40820</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108856</xdr:colOff>
      <xdr:row>61</xdr:row>
      <xdr:rowOff>95250</xdr:rowOff>
    </xdr:from>
    <xdr:to>
      <xdr:col>18</xdr:col>
      <xdr:colOff>707572</xdr:colOff>
      <xdr:row>105</xdr:row>
      <xdr:rowOff>13607</xdr:rowOff>
    </xdr:to>
    <xdr:graphicFrame macro="">
      <xdr:nvGraphicFramePr>
        <xdr:cNvPr id="26" name="Gráfico 25">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0.04474</cdr:x>
      <cdr:y>0.02378</cdr:y>
    </cdr:from>
    <cdr:to>
      <cdr:x>0.99311</cdr:x>
      <cdr:y>0.21802</cdr:y>
    </cdr:to>
    <cdr:sp macro="" textlink="">
      <cdr:nvSpPr>
        <cdr:cNvPr id="2" name="Rectángulo 1"/>
        <cdr:cNvSpPr/>
      </cdr:nvSpPr>
      <cdr:spPr>
        <a:xfrm xmlns:a="http://schemas.openxmlformats.org/drawingml/2006/main">
          <a:off x="328730" y="122968"/>
          <a:ext cx="6968487" cy="1004367"/>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a:innerShdw blurRad="63500" dist="50800" dir="5400000">
            <a:prstClr val="black">
              <a:alpha val="50000"/>
            </a:prstClr>
          </a:inn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DO" sz="1800" b="1">
              <a:solidFill>
                <a:schemeClr val="accent4">
                  <a:lumMod val="50000"/>
                </a:schemeClr>
              </a:solidFill>
              <a:latin typeface="Bahnschrift SemiLight SemiConde" panose="020B0502040204020203" pitchFamily="34" charset="0"/>
            </a:rPr>
            <a:t>Afiliación al SRL por Grupo de Edad y Género</a:t>
          </a:r>
        </a:p>
      </cdr:txBody>
    </cdr:sp>
  </cdr:relSizeAnchor>
</c:userShapes>
</file>

<file path=xl/drawings/drawing64.xml><?xml version="1.0" encoding="utf-8"?>
<c:userShapes xmlns:c="http://schemas.openxmlformats.org/drawingml/2006/chart">
  <cdr:relSizeAnchor xmlns:cdr="http://schemas.openxmlformats.org/drawingml/2006/chartDrawing">
    <cdr:from>
      <cdr:x>0.01586</cdr:x>
      <cdr:y>0.92104</cdr:y>
    </cdr:from>
    <cdr:to>
      <cdr:x>0.39623</cdr:x>
      <cdr:y>0.99659</cdr:y>
    </cdr:to>
    <cdr:sp macro="" textlink="">
      <cdr:nvSpPr>
        <cdr:cNvPr id="2" name="1 CuadroTexto"/>
        <cdr:cNvSpPr txBox="1"/>
      </cdr:nvSpPr>
      <cdr:spPr>
        <a:xfrm xmlns:a="http://schemas.openxmlformats.org/drawingml/2006/main">
          <a:off x="88072" y="2570461"/>
          <a:ext cx="2112203" cy="21084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50" b="1"/>
            <a:t>Fuente:  </a:t>
          </a:r>
          <a:r>
            <a:rPr lang="es-DO" sz="1050" b="0"/>
            <a:t>IDOPPRIL</a:t>
          </a:r>
        </a:p>
      </cdr:txBody>
    </cdr:sp>
  </cdr:relSizeAnchor>
</c:userShapes>
</file>

<file path=xl/drawings/drawing65.xml><?xml version="1.0" encoding="utf-8"?>
<c:userShapes xmlns:c="http://schemas.openxmlformats.org/drawingml/2006/chart">
  <cdr:relSizeAnchor xmlns:cdr="http://schemas.openxmlformats.org/drawingml/2006/chartDrawing">
    <cdr:from>
      <cdr:x>0.02006</cdr:x>
      <cdr:y>0.01008</cdr:y>
    </cdr:from>
    <cdr:to>
      <cdr:x>0.99198</cdr:x>
      <cdr:y>0.19642</cdr:y>
    </cdr:to>
    <cdr:sp macro="" textlink="">
      <cdr:nvSpPr>
        <cdr:cNvPr id="2" name="Rectángulo 1"/>
        <cdr:cNvSpPr/>
      </cdr:nvSpPr>
      <cdr:spPr>
        <a:xfrm xmlns:a="http://schemas.openxmlformats.org/drawingml/2006/main">
          <a:off x="136071" y="52268"/>
          <a:ext cx="6592661" cy="966025"/>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a:innerShdw blurRad="63500" dist="50800" dir="5400000">
            <a:prstClr val="black">
              <a:alpha val="50000"/>
            </a:prstClr>
          </a:inn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DO" sz="1800" b="1">
              <a:solidFill>
                <a:schemeClr val="accent4">
                  <a:lumMod val="50000"/>
                </a:schemeClr>
              </a:solidFill>
              <a:latin typeface="Bahnschrift SemiLight SemiConde" panose="020B0502040204020203" pitchFamily="34" charset="0"/>
            </a:rPr>
            <a:t>Afiliados</a:t>
          </a:r>
          <a:r>
            <a:rPr lang="es-DO" sz="1800" b="1" baseline="0">
              <a:solidFill>
                <a:schemeClr val="accent4">
                  <a:lumMod val="50000"/>
                </a:schemeClr>
              </a:solidFill>
              <a:latin typeface="Bahnschrift SemiLight SemiConde" panose="020B0502040204020203" pitchFamily="34" charset="0"/>
            </a:rPr>
            <a:t> del Seguro Familiar de Salud SFS del Regimen Contributivo (RC)</a:t>
          </a:r>
          <a:endParaRPr lang="es-DO" sz="1800" b="1">
            <a:solidFill>
              <a:schemeClr val="accent4">
                <a:lumMod val="50000"/>
              </a:schemeClr>
            </a:solidFill>
            <a:latin typeface="Bahnschrift SemiLight SemiConde" panose="020B0502040204020203"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0.01649</cdr:x>
      <cdr:y>0.02128</cdr:y>
    </cdr:from>
    <cdr:to>
      <cdr:x>1</cdr:x>
      <cdr:y>0.21489</cdr:y>
    </cdr:to>
    <cdr:sp macro="" textlink="">
      <cdr:nvSpPr>
        <cdr:cNvPr id="2" name="Rectángulo 1"/>
        <cdr:cNvSpPr/>
      </cdr:nvSpPr>
      <cdr:spPr>
        <a:xfrm xmlns:a="http://schemas.openxmlformats.org/drawingml/2006/main">
          <a:off x="108858" y="136072"/>
          <a:ext cx="6490608" cy="1238216"/>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a:innerShdw blurRad="63500" dist="50800" dir="5400000">
            <a:prstClr val="black">
              <a:alpha val="50000"/>
            </a:prstClr>
          </a:inn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DO" sz="1800" b="1">
              <a:solidFill>
                <a:schemeClr val="accent4">
                  <a:lumMod val="50000"/>
                </a:schemeClr>
              </a:solidFill>
              <a:latin typeface="Bahnschrift SemiLight SemiConde" panose="020B0502040204020203" pitchFamily="34" charset="0"/>
            </a:rPr>
            <a:t>Afiliados del Seguro Familiar de Salud SFS del Regimen Subsidiado (RS)</a:t>
          </a:r>
        </a:p>
      </cdr:txBody>
    </cdr:sp>
  </cdr:relSizeAnchor>
</c:userShapes>
</file>

<file path=xl/drawings/drawing67.xml><?xml version="1.0" encoding="utf-8"?>
<xdr:wsDr xmlns:xdr="http://schemas.openxmlformats.org/drawingml/2006/spreadsheetDrawing" xmlns:a="http://schemas.openxmlformats.org/drawingml/2006/main">
  <xdr:oneCellAnchor>
    <xdr:from>
      <xdr:col>1</xdr:col>
      <xdr:colOff>124239</xdr:colOff>
      <xdr:row>0</xdr:row>
      <xdr:rowOff>8282</xdr:rowOff>
    </xdr:from>
    <xdr:ext cx="1571181" cy="946110"/>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239" y="8282"/>
          <a:ext cx="1571181" cy="946110"/>
        </a:xfrm>
        <a:prstGeom prst="rect">
          <a:avLst/>
        </a:prstGeom>
      </xdr:spPr>
    </xdr:pic>
    <xdr:clientData/>
  </xdr:oneCellAnchor>
  <xdr:oneCellAnchor>
    <xdr:from>
      <xdr:col>1</xdr:col>
      <xdr:colOff>339051</xdr:colOff>
      <xdr:row>23</xdr:row>
      <xdr:rowOff>111011</xdr:rowOff>
    </xdr:from>
    <xdr:ext cx="853514" cy="624140"/>
    <xdr:pic>
      <xdr:nvPicPr>
        <xdr:cNvPr id="3" name="Picture 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339051" y="5353902"/>
          <a:ext cx="853514" cy="624140"/>
        </a:xfrm>
        <a:prstGeom prst="rect">
          <a:avLst/>
        </a:prstGeom>
      </xdr:spPr>
    </xdr:pic>
    <xdr:clientData/>
  </xdr:oneCellAnchor>
  <xdr:oneCellAnchor>
    <xdr:from>
      <xdr:col>6</xdr:col>
      <xdr:colOff>237711</xdr:colOff>
      <xdr:row>42</xdr:row>
      <xdr:rowOff>25263</xdr:rowOff>
    </xdr:from>
    <xdr:ext cx="853514" cy="624140"/>
    <xdr:pic>
      <xdr:nvPicPr>
        <xdr:cNvPr id="5" name="Picture 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8843341" y="9310067"/>
          <a:ext cx="853514" cy="624140"/>
        </a:xfrm>
        <a:prstGeom prst="rect">
          <a:avLst/>
        </a:prstGeom>
      </xdr:spPr>
    </xdr:pic>
    <xdr:clientData/>
  </xdr:oneCellAnchor>
  <xdr:oneCellAnchor>
    <xdr:from>
      <xdr:col>5</xdr:col>
      <xdr:colOff>171450</xdr:colOff>
      <xdr:row>59</xdr:row>
      <xdr:rowOff>66675</xdr:rowOff>
    </xdr:from>
    <xdr:ext cx="853514" cy="624140"/>
    <xdr:pic>
      <xdr:nvPicPr>
        <xdr:cNvPr id="6" name="Picture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6553200" y="3829050"/>
          <a:ext cx="853514" cy="624140"/>
        </a:xfrm>
        <a:prstGeom prst="rect">
          <a:avLst/>
        </a:prstGeom>
      </xdr:spPr>
    </xdr:pic>
    <xdr:clientData/>
  </xdr:oneCellAnchor>
  <xdr:twoCellAnchor>
    <xdr:from>
      <xdr:col>8</xdr:col>
      <xdr:colOff>720588</xdr:colOff>
      <xdr:row>4</xdr:row>
      <xdr:rowOff>198783</xdr:rowOff>
    </xdr:from>
    <xdr:to>
      <xdr:col>9</xdr:col>
      <xdr:colOff>5019261</xdr:colOff>
      <xdr:row>24</xdr:row>
      <xdr:rowOff>198783</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637761</xdr:colOff>
      <xdr:row>29</xdr:row>
      <xdr:rowOff>80878</xdr:rowOff>
    </xdr:from>
    <xdr:to>
      <xdr:col>12</xdr:col>
      <xdr:colOff>256774</xdr:colOff>
      <xdr:row>57</xdr:row>
      <xdr:rowOff>9939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a:stretch>
          <a:fillRect/>
        </a:stretch>
      </xdr:blipFill>
      <xdr:spPr>
        <a:xfrm>
          <a:off x="11612218" y="7170791"/>
          <a:ext cx="8150100" cy="5776583"/>
        </a:xfrm>
        <a:prstGeom prst="rect">
          <a:avLst/>
        </a:prstGeom>
      </xdr:spPr>
    </xdr:pic>
    <xdr:clientData/>
  </xdr:twoCellAnchor>
  <xdr:twoCellAnchor>
    <xdr:from>
      <xdr:col>12</xdr:col>
      <xdr:colOff>488675</xdr:colOff>
      <xdr:row>14</xdr:row>
      <xdr:rowOff>91109</xdr:rowOff>
    </xdr:from>
    <xdr:to>
      <xdr:col>15</xdr:col>
      <xdr:colOff>223630</xdr:colOff>
      <xdr:row>31</xdr:row>
      <xdr:rowOff>24848</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347867</xdr:colOff>
      <xdr:row>14</xdr:row>
      <xdr:rowOff>91108</xdr:rowOff>
    </xdr:from>
    <xdr:to>
      <xdr:col>21</xdr:col>
      <xdr:colOff>513522</xdr:colOff>
      <xdr:row>31</xdr:row>
      <xdr:rowOff>24848</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0.02193</cdr:x>
      <cdr:y>0.9081</cdr:y>
    </cdr:from>
    <cdr:to>
      <cdr:x>0.59249</cdr:x>
      <cdr:y>0.97516</cdr:y>
    </cdr:to>
    <cdr:sp macro="" textlink="">
      <cdr:nvSpPr>
        <cdr:cNvPr id="2" name="CuadroTexto 1"/>
        <cdr:cNvSpPr txBox="1"/>
      </cdr:nvSpPr>
      <cdr:spPr>
        <a:xfrm xmlns:a="http://schemas.openxmlformats.org/drawingml/2006/main">
          <a:off x="125706" y="3031131"/>
          <a:ext cx="3270164" cy="2238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100"/>
            <a:t>Fuente: Repositorio de la Seguridad Social</a:t>
          </a:r>
          <a:r>
            <a:rPr lang="es-DO" sz="1100" baseline="0"/>
            <a:t> (</a:t>
          </a:r>
          <a:r>
            <a:rPr lang="es-DO" sz="1100"/>
            <a:t>CNSS)</a:t>
          </a:r>
        </a:p>
      </cdr:txBody>
    </cdr:sp>
  </cdr:relSizeAnchor>
</c:userShapes>
</file>

<file path=xl/drawings/drawing69.xml><?xml version="1.0" encoding="utf-8"?>
<c:userShapes xmlns:c="http://schemas.openxmlformats.org/drawingml/2006/chart">
  <cdr:relSizeAnchor xmlns:cdr="http://schemas.openxmlformats.org/drawingml/2006/chartDrawing">
    <cdr:from>
      <cdr:x>0.04427</cdr:x>
      <cdr:y>0.90196</cdr:y>
    </cdr:from>
    <cdr:to>
      <cdr:x>0.65541</cdr:x>
      <cdr:y>0.97162</cdr:y>
    </cdr:to>
    <cdr:sp macro="" textlink="">
      <cdr:nvSpPr>
        <cdr:cNvPr id="2" name="CuadroTexto 1"/>
        <cdr:cNvSpPr txBox="1"/>
      </cdr:nvSpPr>
      <cdr:spPr>
        <a:xfrm xmlns:a="http://schemas.openxmlformats.org/drawingml/2006/main">
          <a:off x="217046" y="2918011"/>
          <a:ext cx="2996608" cy="22536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100">
              <a:effectLst/>
              <a:latin typeface="+mn-lt"/>
              <a:ea typeface="+mn-ea"/>
              <a:cs typeface="+mn-cs"/>
            </a:rPr>
            <a:t>Fuente: Repositorio de la Seguridad Social</a:t>
          </a:r>
          <a:r>
            <a:rPr lang="es-DO" sz="1100" baseline="0">
              <a:effectLst/>
              <a:latin typeface="+mn-lt"/>
              <a:ea typeface="+mn-ea"/>
              <a:cs typeface="+mn-cs"/>
            </a:rPr>
            <a:t> (</a:t>
          </a:r>
          <a:r>
            <a:rPr lang="es-DO" sz="1100">
              <a:effectLst/>
              <a:latin typeface="+mn-lt"/>
              <a:ea typeface="+mn-ea"/>
              <a:cs typeface="+mn-cs"/>
            </a:rPr>
            <a:t>CNSS)</a:t>
          </a:r>
          <a:endParaRPr lang="es-DO">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0.02477</cdr:x>
      <cdr:y>0.91885</cdr:y>
    </cdr:from>
    <cdr:to>
      <cdr:x>0.35851</cdr:x>
      <cdr:y>1</cdr:y>
    </cdr:to>
    <cdr:sp macro="" textlink="">
      <cdr:nvSpPr>
        <cdr:cNvPr id="2" name="CuadroTexto 1"/>
        <cdr:cNvSpPr txBox="1"/>
      </cdr:nvSpPr>
      <cdr:spPr>
        <a:xfrm xmlns:a="http://schemas.openxmlformats.org/drawingml/2006/main">
          <a:off x="541705" y="9172145"/>
          <a:ext cx="7298694" cy="810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70.xml><?xml version="1.0" encoding="utf-8"?>
<xdr:wsDr xmlns:xdr="http://schemas.openxmlformats.org/drawingml/2006/spreadsheetDrawing" xmlns:a="http://schemas.openxmlformats.org/drawingml/2006/main">
  <xdr:oneCellAnchor>
    <xdr:from>
      <xdr:col>1</xdr:col>
      <xdr:colOff>149087</xdr:colOff>
      <xdr:row>0</xdr:row>
      <xdr:rowOff>140803</xdr:rowOff>
    </xdr:from>
    <xdr:ext cx="1571181" cy="946110"/>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8687" y="140803"/>
          <a:ext cx="1571181" cy="946110"/>
        </a:xfrm>
        <a:prstGeom prst="rect">
          <a:avLst/>
        </a:prstGeom>
      </xdr:spPr>
    </xdr:pic>
    <xdr:clientData/>
  </xdr:oneCellAnchor>
  <xdr:oneCellAnchor>
    <xdr:from>
      <xdr:col>1</xdr:col>
      <xdr:colOff>247942</xdr:colOff>
      <xdr:row>21</xdr:row>
      <xdr:rowOff>115957</xdr:rowOff>
    </xdr:from>
    <xdr:ext cx="853514" cy="624140"/>
    <xdr:pic>
      <xdr:nvPicPr>
        <xdr:cNvPr id="3" name="Picture 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7542" y="4116457"/>
          <a:ext cx="853514" cy="624140"/>
        </a:xfrm>
        <a:prstGeom prst="rect">
          <a:avLst/>
        </a:prstGeom>
      </xdr:spPr>
    </xdr:pic>
    <xdr:clientData/>
  </xdr:oneCellAnchor>
  <xdr:twoCellAnchor editAs="oneCell">
    <xdr:from>
      <xdr:col>9</xdr:col>
      <xdr:colOff>66675</xdr:colOff>
      <xdr:row>6</xdr:row>
      <xdr:rowOff>66675</xdr:rowOff>
    </xdr:from>
    <xdr:to>
      <xdr:col>12</xdr:col>
      <xdr:colOff>352425</xdr:colOff>
      <xdr:row>28</xdr:row>
      <xdr:rowOff>57150</xdr:rowOff>
    </xdr:to>
    <xdr:pic>
      <xdr:nvPicPr>
        <xdr:cNvPr id="4" name="Imagen 3" descr="Imagen 1, Imagen">
          <a:extLst>
            <a:ext uri="{FF2B5EF4-FFF2-40B4-BE49-F238E27FC236}">
              <a16:creationId xmlns:a16="http://schemas.microsoft.com/office/drawing/2014/main" id="{1EA7AC54-2D9D-C5E3-132F-6D5745C2ED93}"/>
            </a:ext>
            <a:ext uri="{147F2762-F138-4A5C-976F-8EAC2B608ADB}">
              <a16:predDERef xmlns:a16="http://schemas.microsoft.com/office/drawing/2014/main" pred="{00000000-0008-0000-0700-000003000000}"/>
            </a:ext>
          </a:extLst>
        </xdr:cNvPr>
        <xdr:cNvPicPr>
          <a:picLocks noChangeAspect="1"/>
        </xdr:cNvPicPr>
      </xdr:nvPicPr>
      <xdr:blipFill>
        <a:blip xmlns:r="http://schemas.openxmlformats.org/officeDocument/2006/relationships" r:embed="rId3"/>
        <a:stretch>
          <a:fillRect/>
        </a:stretch>
      </xdr:blipFill>
      <xdr:spPr>
        <a:xfrm>
          <a:off x="11163300" y="1428750"/>
          <a:ext cx="8067675" cy="43910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8"/>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0.01419</cdr:x>
      <cdr:y>0.91978</cdr:y>
    </cdr:from>
    <cdr:to>
      <cdr:x>0.60443</cdr:x>
      <cdr:y>0.97666</cdr:y>
    </cdr:to>
    <cdr:sp macro="" textlink="">
      <cdr:nvSpPr>
        <cdr:cNvPr id="2" name="CuadroTexto 1"/>
        <cdr:cNvSpPr txBox="1"/>
      </cdr:nvSpPr>
      <cdr:spPr>
        <a:xfrm xmlns:a="http://schemas.openxmlformats.org/drawingml/2006/main">
          <a:off x="448072" y="12335305"/>
          <a:ext cx="18642671" cy="762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latin typeface="Arial" panose="020B0604020202020204" pitchFamily="34" charset="0"/>
              <a:cs typeface="Arial" panose="020B0604020202020204" pitchFamily="34" charset="0"/>
            </a:rPr>
            <a:t>FUENTE: </a:t>
          </a:r>
          <a:r>
            <a:rPr lang="en-US" sz="3600">
              <a:latin typeface="Arial" panose="020B0604020202020204" pitchFamily="34" charset="0"/>
              <a:cs typeface="Arial" panose="020B0604020202020204" pitchFamily="34" charset="0"/>
            </a:rPr>
            <a:t>SISALRIL y ONE. Estimación</a:t>
          </a:r>
          <a:r>
            <a:rPr lang="en-US" sz="3600" baseline="0">
              <a:latin typeface="Arial" panose="020B0604020202020204" pitchFamily="34" charset="0"/>
              <a:cs typeface="Arial" panose="020B0604020202020204" pitchFamily="34" charset="0"/>
            </a:rPr>
            <a:t> </a:t>
          </a:r>
          <a:r>
            <a:rPr lang="en-US" sz="3600">
              <a:latin typeface="Arial" panose="020B0604020202020204" pitchFamily="34" charset="0"/>
              <a:cs typeface="Arial" panose="020B0604020202020204" pitchFamily="34" charset="0"/>
            </a:rPr>
            <a:t>Proyección</a:t>
          </a:r>
          <a:r>
            <a:rPr lang="en-US" sz="3600" baseline="0">
              <a:latin typeface="Arial" panose="020B0604020202020204" pitchFamily="34" charset="0"/>
              <a:cs typeface="Arial" panose="020B0604020202020204" pitchFamily="34" charset="0"/>
            </a:rPr>
            <a:t> de población </a:t>
          </a:r>
          <a:endParaRPr lang="en-US" sz="3200">
            <a:latin typeface="Arial" panose="020B0604020202020204" pitchFamily="34" charset="0"/>
            <a:cs typeface="Arial" panose="020B0604020202020204" pitchFamily="34" charset="0"/>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600" b="1">
              <a:solidFill>
                <a:schemeClr val="lt1"/>
              </a:solidFill>
              <a:effectLst/>
              <a:latin typeface="+mn-lt"/>
              <a:ea typeface="+mn-ea"/>
              <a:cs typeface="+mn-cs"/>
            </a:rPr>
            <a:t>Generales del Sistema Dominicano</a:t>
          </a:r>
          <a:r>
            <a:rPr lang="es-DO" sz="2600" b="1" baseline="0">
              <a:solidFill>
                <a:schemeClr val="lt1"/>
              </a:solidFill>
              <a:effectLst/>
              <a:latin typeface="+mn-lt"/>
              <a:ea typeface="+mn-ea"/>
              <a:cs typeface="+mn-cs"/>
            </a:rPr>
            <a:t> </a:t>
          </a:r>
          <a:r>
            <a:rPr lang="es-DO" sz="2600" b="1">
              <a:solidFill>
                <a:schemeClr val="lt1"/>
              </a:solidFill>
              <a:effectLst/>
              <a:latin typeface="+mn-lt"/>
              <a:ea typeface="+mn-ea"/>
              <a:cs typeface="+mn-cs"/>
            </a:rPr>
            <a:t>de la Seguridad Social (SDSS) </a:t>
          </a:r>
          <a:endParaRPr lang="es-DO" sz="2600">
            <a:effectLst/>
          </a:endParaRPr>
        </a:p>
      </xdr:txBody>
    </xdr:sp>
    <xdr:clientData/>
  </xdr:twoCellAnchor>
  <xdr:twoCellAnchor editAs="oneCell">
    <xdr:from>
      <xdr:col>0</xdr:col>
      <xdr:colOff>210671</xdr:colOff>
      <xdr:row>0</xdr:row>
      <xdr:rowOff>152399</xdr:rowOff>
    </xdr:from>
    <xdr:to>
      <xdr:col>1</xdr:col>
      <xdr:colOff>275442</xdr:colOff>
      <xdr:row>2</xdr:row>
      <xdr:rowOff>125184</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19696</xdr:colOff>
      <xdr:row>23</xdr:row>
      <xdr:rowOff>146322</xdr:rowOff>
    </xdr:from>
    <xdr:to>
      <xdr:col>36</xdr:col>
      <xdr:colOff>638821</xdr:colOff>
      <xdr:row>40</xdr:row>
      <xdr:rowOff>69002</xdr:rowOff>
    </xdr:to>
    <xdr:graphicFrame macro="">
      <xdr:nvGraphicFramePr>
        <xdr:cNvPr id="4" name="3 Gráfico">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8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0.02487</cdr:x>
      <cdr:y>0.93728</cdr:y>
    </cdr:from>
    <cdr:to>
      <cdr:x>0.43999</cdr:x>
      <cdr:y>1</cdr:y>
    </cdr:to>
    <cdr:sp macro="" textlink="">
      <cdr:nvSpPr>
        <cdr:cNvPr id="2" name="CuadroTexto 1"/>
        <cdr:cNvSpPr txBox="1"/>
      </cdr:nvSpPr>
      <cdr:spPr>
        <a:xfrm xmlns:a="http://schemas.openxmlformats.org/drawingml/2006/main">
          <a:off x="469900" y="10070306"/>
          <a:ext cx="7844913" cy="673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238123</xdr:colOff>
      <xdr:row>57</xdr:row>
      <xdr:rowOff>285749</xdr:rowOff>
    </xdr:from>
    <xdr:to>
      <xdr:col>16</xdr:col>
      <xdr:colOff>2223092</xdr:colOff>
      <xdr:row>63</xdr:row>
      <xdr:rowOff>159565</xdr:rowOff>
    </xdr:to>
    <xdr:pic>
      <xdr:nvPicPr>
        <xdr:cNvPr id="6" name="Imagen 5">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3"/>
        <a:stretch>
          <a:fillRect/>
        </a:stretch>
      </xdr:blipFill>
      <xdr:spPr>
        <a:xfrm>
          <a:off x="24503061" y="20026312"/>
          <a:ext cx="9509719" cy="215981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23</xdr:row>
      <xdr:rowOff>47622</xdr:rowOff>
    </xdr:from>
    <xdr:to>
      <xdr:col>9</xdr:col>
      <xdr:colOff>2043545</xdr:colOff>
      <xdr:row>56</xdr:row>
      <xdr:rowOff>212144</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156883</xdr:colOff>
      <xdr:row>1</xdr:row>
      <xdr:rowOff>140073</xdr:rowOff>
    </xdr:from>
    <xdr:to>
      <xdr:col>18</xdr:col>
      <xdr:colOff>358589</xdr:colOff>
      <xdr:row>21</xdr:row>
      <xdr:rowOff>11206</xdr:rowOff>
    </xdr:to>
    <xdr:graphicFrame macro="">
      <xdr:nvGraphicFramePr>
        <xdr:cNvPr id="4" name="Gráfico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79562</xdr:colOff>
      <xdr:row>24</xdr:row>
      <xdr:rowOff>4003</xdr:rowOff>
    </xdr:from>
    <xdr:to>
      <xdr:col>18</xdr:col>
      <xdr:colOff>879662</xdr:colOff>
      <xdr:row>37</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726579</xdr:colOff>
      <xdr:row>1</xdr:row>
      <xdr:rowOff>392206</xdr:rowOff>
    </xdr:from>
    <xdr:to>
      <xdr:col>27</xdr:col>
      <xdr:colOff>470647</xdr:colOff>
      <xdr:row>10</xdr:row>
      <xdr:rowOff>15289</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4"/>
        <a:stretch>
          <a:fillRect/>
        </a:stretch>
      </xdr:blipFill>
      <xdr:spPr>
        <a:xfrm>
          <a:off x="13915903" y="1187824"/>
          <a:ext cx="5840068" cy="1326377"/>
        </a:xfrm>
        <a:prstGeom prst="rect">
          <a:avLst/>
        </a:prstGeom>
      </xdr:spPr>
    </xdr:pic>
    <xdr:clientData/>
  </xdr:twoCellAnchor>
</xdr:wsDr>
</file>

<file path=xl/drawings/drawing9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652028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ilma.santana/AppData/Local/Microsoft/Windows/INetCache/Content.Outlook/TQBP5NZL/Estructura%20datos%20a%20TSS..%20v%20070425%20(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nssgobdo.sharepoint.com/sites/Dir_Planificacion_Desarrollo/Shared%20Documents/DPD/DPD-%20EST/02.%20Boletines%20Estadisticos/02.%20Semana%20de%20la%20SDSS/01.%20Semana%20SDSS%202025/Graficos%20Pres%20Cobertura%20SDSS_Ener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erimiento MEPyD"/>
      <sheetName val="Relacion Pensionados "/>
      <sheetName val="REC POR SECTOR"/>
      <sheetName val="Detalle Medicamentos RC"/>
      <sheetName val="Detalle Prueba Covi  RC"/>
      <sheetName val="Detalle Atenciones M RC"/>
      <sheetName val="Detalle Atenciones Medica  RS"/>
      <sheetName val="PH"/>
      <sheetName val="PN"/>
      <sheetName val="SS"/>
      <sheetName val="FF AA"/>
      <sheetName val="Decreto 18-19"/>
    </sheetNames>
    <sheetDataSet>
      <sheetData sheetId="0" refreshError="1"/>
      <sheetData sheetId="1" refreshError="1"/>
      <sheetData sheetId="2">
        <row r="68">
          <cell r="G68">
            <v>112854009382.5</v>
          </cell>
          <cell r="H68">
            <v>122910817769.05998</v>
          </cell>
          <cell r="I68">
            <v>121397990565.50998</v>
          </cell>
          <cell r="K68">
            <v>139642528713.32999</v>
          </cell>
          <cell r="L68">
            <v>168533574230.89999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
      <sheetName val="SFS"/>
      <sheetName val="Cuadro_1"/>
      <sheetName val="INFOGRAFIA (3)"/>
      <sheetName val="G.1 SFS"/>
      <sheetName val="Afiliacion1_2"/>
      <sheetName val="Graficos 2 Cobertura"/>
      <sheetName val="G.2 SFS"/>
      <sheetName val="Afiliación"/>
      <sheetName val="G.3 SFS"/>
      <sheetName val="G.4 SFS"/>
      <sheetName val="G.5 SFS"/>
      <sheetName val="Req_CNSS"/>
      <sheetName val="Diccionario"/>
      <sheetName val="TD-Gasto"/>
      <sheetName val="Hoja6"/>
      <sheetName val="Grafico Afiliacion "/>
      <sheetName val="Resumen de cobertura"/>
      <sheetName val="Financiamiento_SFS_PBI"/>
      <sheetName val="SVDS"/>
      <sheetName val="Pens. Solidarias"/>
      <sheetName val="SVDS 1"/>
      <sheetName val="G1.SVDS"/>
      <sheetName val="G2.SVDS"/>
      <sheetName val="III.5.6.Cotiz x sal. min. cot."/>
      <sheetName val="G3.SVDS"/>
      <sheetName val="G4.SVDS"/>
      <sheetName val="G5.SVDS"/>
      <sheetName val="G6.SVDS"/>
      <sheetName val="Patrimonio Fondo"/>
      <sheetName val="SVDS 2"/>
      <sheetName val="VII.3.CBSS-Benef"/>
      <sheetName val="VII.4.CBSS-Tramit."/>
      <sheetName val="Hoja1"/>
      <sheetName val="Hoja28"/>
      <sheetName val="Hoja29"/>
      <sheetName val="Hoja31"/>
      <sheetName val="SRL"/>
      <sheetName val="SRL2"/>
      <sheetName val="IDOPPRIL"/>
      <sheetName val="G1.SRL"/>
      <sheetName val="G2.SRL"/>
      <sheetName val=" II.4.Empr x No. de empl"/>
      <sheetName val="V.4.2.NA. Reportes ARL"/>
      <sheetName val="V.4.5. NA.Cant. accid x sector"/>
      <sheetName val="V.4.6. Accid x sexo"/>
      <sheetName val="Convenio Bilateral"/>
      <sheetName val="CMRN"/>
      <sheetName val="VI.1. Analisis CBSS (2)"/>
      <sheetName val="VII.2.CBSS-Tramit. (2)"/>
      <sheetName val="VII.3.CBSS-Benef (2)"/>
      <sheetName val="CONVenio"/>
      <sheetName val="Resumen por Tipo de servicios"/>
      <sheetName val="Prestaciones_SFS_PBS_01"/>
      <sheetName val="Resumen por regimen y año"/>
      <sheetName val="Prestaciones_General_"/>
      <sheetName val="Prestaciones_RC_PBS_02"/>
      <sheetName val="Prestaciones_RC_ (2)"/>
      <sheetName val="Prestaciones_RS_PBS_02"/>
      <sheetName val="Prestaciones_RS_PBS_01"/>
      <sheetName val="Prestaciones_PESPJ_PBS_01"/>
      <sheetName val="Prestaciones_PESPJ_PBS_02"/>
      <sheetName val="Graficos Pres Cobertura SDSS_En"/>
    </sheetNames>
    <definedNames>
      <definedName name="DD" refersTo="#REF!"/>
      <definedName name="VV"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6:H20" totalsRowShown="0" headerRowDxfId="760" dataDxfId="759">
  <tableColumns count="7">
    <tableColumn id="1" xr3:uid="{00000000-0010-0000-0000-000001000000}" name="BASE LEGAL " dataDxfId="758"/>
    <tableColumn id="2" xr3:uid="{00000000-0010-0000-0000-000002000000}" name="FECHA_INICIO " dataDxfId="757"/>
    <tableColumn id="3" xr3:uid="{00000000-0010-0000-0000-000003000000}" name="FECHA_FINAl" dataDxfId="756"/>
    <tableColumn id="7" xr3:uid="{00000000-0010-0000-0000-000007000000}" name="Fecha" dataDxfId="755" dataCellStyle="Millares 33"/>
    <tableColumn id="4" xr3:uid="{00000000-0010-0000-0000-000004000000}" name="PERCAPITA" dataDxfId="754"/>
    <tableColumn id="5" xr3:uid="{00000000-0010-0000-0000-000005000000}" name="Aumentos" dataDxfId="753"/>
    <tableColumn id="6" xr3:uid="{00000000-0010-0000-0000-000006000000}" name="%" dataDxfId="75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a12" displayName="Tabla12" ref="B4:H22" totalsRowShown="0" headerRowDxfId="618" dataDxfId="617" headerRowBorderDxfId="615" tableBorderDxfId="616" totalsRowBorderDxfId="614">
  <tableColumns count="7">
    <tableColumn id="1" xr3:uid="{00000000-0010-0000-0900-000001000000}" name="Año" dataDxfId="613" dataCellStyle="Normal 2 2"/>
    <tableColumn id="2" xr3:uid="{00000000-0010-0000-0900-000002000000}" name="Afiliados Titulares " dataDxfId="612" dataCellStyle="Normal 2 2"/>
    <tableColumn id="3" xr3:uid="{00000000-0010-0000-0900-000003000000}" name="Afiliados Dependientes " dataDxfId="611" dataCellStyle="Normal 2 2"/>
    <tableColumn id="4" xr3:uid="{00000000-0010-0000-0900-000004000000}" name="Afiliados Totales" dataDxfId="610" dataCellStyle="Normal 2 2">
      <calculatedColumnFormula>C5+D5</calculatedColumnFormula>
    </tableColumn>
    <tableColumn id="5" xr3:uid="{00000000-0010-0000-0900-000005000000}" name="% Afiliados   titulares " dataDxfId="609" dataCellStyle="Normal 2 2">
      <calculatedColumnFormula>C5/E5</calculatedColumnFormula>
    </tableColumn>
    <tableColumn id="6" xr3:uid="{00000000-0010-0000-0900-000006000000}" name=" % Afiliados Dependientes" dataDxfId="608" dataCellStyle="Normal 2 2">
      <calculatedColumnFormula>D5/E5</calculatedColumnFormula>
    </tableColumn>
    <tableColumn id="7" xr3:uid="{00000000-0010-0000-0900-000007000000}" name="Índice de dependencia RS" dataDxfId="607" dataCellStyle="Normal 2 2">
      <calculatedColumnFormula>D5/C5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a15" displayName="Tabla15" ref="B4:I22" totalsRowShown="0" headerRowDxfId="605" dataDxfId="604" headerRowBorderDxfId="602" tableBorderDxfId="603" totalsRowBorderDxfId="601">
  <tableColumns count="8">
    <tableColumn id="1" xr3:uid="{00000000-0010-0000-0A00-000001000000}" name="Período" dataDxfId="600"/>
    <tableColumn id="2" xr3:uid="{00000000-0010-0000-0A00-000002000000}" name="Titulares_Masc" dataDxfId="599" dataCellStyle="Millares 2 4"/>
    <tableColumn id="3" xr3:uid="{00000000-0010-0000-0A00-000003000000}" name="Dependientes Directos_Masc" dataDxfId="598" dataCellStyle="Millares 2 4"/>
    <tableColumn id="4" xr3:uid="{00000000-0010-0000-0A00-000004000000}" name="Total Masculino" dataDxfId="597" dataCellStyle="Millares 2 4">
      <calculatedColumnFormula>C5+D5</calculatedColumnFormula>
    </tableColumn>
    <tableColumn id="5" xr3:uid="{00000000-0010-0000-0A00-000005000000}" name="Titulares_Fem" dataDxfId="596" dataCellStyle="Millares 2 4"/>
    <tableColumn id="6" xr3:uid="{00000000-0010-0000-0A00-000006000000}" name="Dependientes Directos_Fem" dataDxfId="595" dataCellStyle="Millares 2 4"/>
    <tableColumn id="7" xr3:uid="{00000000-0010-0000-0A00-000007000000}" name="Total Femenino" dataDxfId="594" dataCellStyle="Millares 2 4">
      <calculatedColumnFormula>F5+G5</calculatedColumnFormula>
    </tableColumn>
    <tableColumn id="8" xr3:uid="{00000000-0010-0000-0A00-000008000000}" name="Total Afiliados SFS RS" dataDxfId="593" dataCellStyle="Millares 2 4">
      <calculatedColumnFormula>E5+H5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abla7" displayName="Tabla7" ref="A4:D22" totalsRowShown="0" headerRowDxfId="592" dataDxfId="591" headerRowBorderDxfId="589" tableBorderDxfId="590" totalsRowBorderDxfId="588">
  <tableColumns count="4">
    <tableColumn id="1" xr3:uid="{00000000-0010-0000-0B00-000001000000}" name="Año" dataDxfId="587" dataCellStyle="Normal 2"/>
    <tableColumn id="2" xr3:uid="{00000000-0010-0000-0B00-000002000000}" name="Cotizantes" dataDxfId="586" dataCellStyle="Millares 2"/>
    <tableColumn id="3" xr3:uid="{00000000-0010-0000-0B00-000003000000}" name="Afiliados " dataDxfId="585" dataCellStyle="Millares 2"/>
    <tableColumn id="4" xr3:uid="{00000000-0010-0000-0B00-000004000000}" name="Densidad de Cotizantes" dataDxfId="584" dataCellStyle="Normal 2">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C000000}" name="Tabla9" displayName="Tabla9" ref="A4:D22" totalsRowShown="0" headerRowDxfId="583" dataDxfId="582" headerRowBorderDxfId="580" tableBorderDxfId="581" totalsRowBorderDxfId="579">
  <tableColumns count="4">
    <tableColumn id="1" xr3:uid="{00000000-0010-0000-0C00-000001000000}" name="Años" dataDxfId="578" dataCellStyle="Normal 2"/>
    <tableColumn id="2" xr3:uid="{00000000-0010-0000-0C00-000002000000}" name="Trabajadores Cotizantes " dataDxfId="577" dataCellStyle="Millares 2"/>
    <tableColumn id="3" xr3:uid="{00000000-0010-0000-0C00-000003000000}" name="Población Ocupada Formal" dataDxfId="576" dataCellStyle="Millares 2"/>
    <tableColumn id="4" xr3:uid="{00000000-0010-0000-0C00-000004000000}" name="% Cotizantes/ Pobl. Asalariada" dataDxfId="575">
      <calculatedColumnFormula>B5/C5</calculatedColumnFormula>
    </tableColumn>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D000000}" name="Tabla5759" displayName="Tabla5759" ref="A4:C16" totalsRowCount="1" headerRowDxfId="573" dataDxfId="572" headerRowBorderDxfId="570" tableBorderDxfId="571" headerRowCellStyle="Millares 5 2">
  <tableColumns count="3">
    <tableColumn id="1" xr3:uid="{00000000-0010-0000-0D00-000001000000}" name="Edad" totalsRowLabel="Fuente: SIPEN" dataDxfId="568" totalsRowDxfId="569" dataCellStyle="Normal 13 2"/>
    <tableColumn id="2" xr3:uid="{00000000-0010-0000-0D00-000002000000}" name="Cotizantes" dataDxfId="566" totalsRowDxfId="567"/>
    <tableColumn id="3" xr3:uid="{00000000-0010-0000-0D00-000003000000}" name="%" dataDxfId="564" totalsRowDxfId="565"/>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E000000}" name="Tabla20" displayName="Tabla20" ref="A4:C14" totalsRowShown="0" headerRowDxfId="562" dataDxfId="561" headerRowBorderDxfId="559" tableBorderDxfId="560" totalsRowBorderDxfId="558">
  <tableColumns count="3">
    <tableColumn id="1" xr3:uid="{00000000-0010-0000-0E00-000001000000}" name="Cantidad de Salarios Mínimos Cotizables" dataDxfId="557" dataCellStyle="Normal 13 2"/>
    <tableColumn id="2" xr3:uid="{00000000-0010-0000-0E00-000002000000}" name="Cotizantes" dataDxfId="556"/>
    <tableColumn id="3" xr3:uid="{00000000-0010-0000-0E00-000003000000}" name="%" dataDxfId="555"/>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F000000}" name="Tabla63" displayName="Tabla63" ref="B4:H22" totalsRowShown="0" headerRowDxfId="554" dataDxfId="553" headerRowBorderDxfId="551" tableBorderDxfId="552" totalsRowBorderDxfId="550">
  <tableColumns count="7">
    <tableColumn id="1" xr3:uid="{00000000-0010-0000-0F00-000001000000}" name="Mes" dataDxfId="549"/>
    <tableColumn id="2" xr3:uid="{00000000-0010-0000-0F00-000002000000}" name="Afiliados Masculino" dataDxfId="548"/>
    <tableColumn id="3" xr3:uid="{00000000-0010-0000-0F00-000003000000}" name="Afiliados Femeninos" dataDxfId="547"/>
    <tableColumn id="4" xr3:uid="{00000000-0010-0000-0F00-000004000000}" name="Total _x000a_Afiliados" dataDxfId="546">
      <calculatedColumnFormula>+Tabla63[[#This Row],[Afiliados Femeninos]]+Tabla63[[#This Row],[Afiliados Masculino]]</calculatedColumnFormula>
    </tableColumn>
    <tableColumn id="5" xr3:uid="{00000000-0010-0000-0F00-000005000000}" name="Cotizantes Masculinos" dataDxfId="545"/>
    <tableColumn id="6" xr3:uid="{00000000-0010-0000-0F00-000006000000}" name="Cotizantes Femenino " dataDxfId="544"/>
    <tableColumn id="7" xr3:uid="{00000000-0010-0000-0F00-000007000000}" name="Total _x000a_Cotizantes" dataDxfId="543">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0000000}" name="Tabla67" displayName="Tabla67" ref="A6:B22" totalsRowShown="0" headerRowDxfId="542" dataDxfId="541" headerRowBorderDxfId="540">
  <tableColumns count="2">
    <tableColumn id="1" xr3:uid="{00000000-0010-0000-1000-000001000000}" name="Períodos" dataDxfId="539"/>
    <tableColumn id="2" xr3:uid="{00000000-0010-0000-1000-000002000000}" name="Casos" dataDxfId="538"/>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8" displayName="Tabla18" ref="A5:O22" totalsRowShown="0" headerRowDxfId="537" dataDxfId="536" headerRowBorderDxfId="534" tableBorderDxfId="535" totalsRowBorderDxfId="533">
  <tableColumns count="15">
    <tableColumn id="1" xr3:uid="{00000000-0010-0000-1100-000001000000}" name="Período" dataDxfId="532"/>
    <tableColumn id="2" xr3:uid="{00000000-0010-0000-1100-000002000000}" name="Atlántico" dataDxfId="531"/>
    <tableColumn id="3" xr3:uid="{00000000-0010-0000-1100-000003000000}" name="Crecer" dataDxfId="530"/>
    <tableColumn id="4" xr3:uid="{00000000-0010-0000-1100-000004000000}" name="JMMB-BDI" dataDxfId="529"/>
    <tableColumn id="5" xr3:uid="{00000000-0010-0000-1100-000005000000}" name="Popular" dataDxfId="528"/>
    <tableColumn id="6" xr3:uid="{00000000-0010-0000-1100-000006000000}" name="Reservas" dataDxfId="527"/>
    <tableColumn id="7" xr3:uid="{00000000-0010-0000-1100-000007000000}" name="Romana" dataDxfId="526"/>
    <tableColumn id="8" xr3:uid="{00000000-0010-0000-1100-000008000000}" name="Siembra" dataDxfId="525"/>
    <tableColumn id="9" xr3:uid="{00000000-0010-0000-1100-000009000000}" name="Total" dataDxfId="524"/>
    <tableColumn id="10" xr3:uid="{00000000-0010-0000-1100-00000A000000}" name="Ministerio de Hacienda" dataDxfId="523"/>
    <tableColumn id="11" xr3:uid="{00000000-0010-0000-1100-00000B000000}" name="Plan  Sustitutivo del Banco Central" dataDxfId="522"/>
    <tableColumn id="12" xr3:uid="{00000000-0010-0000-1100-00000C000000}" name="Plan  Sustitutivo del Banco de Reservas" dataDxfId="521"/>
    <tableColumn id="13" xr3:uid="{00000000-0010-0000-1100-00000D000000}" name="Plan Sustitutivo INABIMA" dataDxfId="520"/>
    <tableColumn id="14" xr3:uid="{00000000-0010-0000-1100-00000E000000}" name="Total Reparto" dataDxfId="519"/>
    <tableColumn id="15" xr3:uid="{00000000-0010-0000-1100-00000F000000}" name="Total General" dataDxfId="51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a19" displayName="Tabla19" ref="A4:O22" totalsRowShown="0" headerRowDxfId="517" dataDxfId="516" headerRowBorderDxfId="514" tableBorderDxfId="515" totalsRowBorderDxfId="513">
  <tableColumns count="15">
    <tableColumn id="1" xr3:uid="{00000000-0010-0000-1200-000001000000}" name="Año" dataDxfId="511" totalsRowDxfId="512"/>
    <tableColumn id="2" xr3:uid="{00000000-0010-0000-1200-000002000000}" name="Atlántico" dataDxfId="509" totalsRowDxfId="510"/>
    <tableColumn id="3" xr3:uid="{00000000-0010-0000-1200-000003000000}" name="Crecer" dataDxfId="507" totalsRowDxfId="508"/>
    <tableColumn id="4" xr3:uid="{00000000-0010-0000-1200-000004000000}" name="JMMB-BDI" dataDxfId="505" totalsRowDxfId="506"/>
    <tableColumn id="5" xr3:uid="{00000000-0010-0000-1200-000005000000}" name="Popular" dataDxfId="503" totalsRowDxfId="504"/>
    <tableColumn id="6" xr3:uid="{00000000-0010-0000-1200-000006000000}" name="Reservas" dataDxfId="501" totalsRowDxfId="502"/>
    <tableColumn id="7" xr3:uid="{00000000-0010-0000-1200-000007000000}" name="Romana" dataDxfId="499" totalsRowDxfId="500"/>
    <tableColumn id="8" xr3:uid="{00000000-0010-0000-1200-000008000000}" name="Siembra" dataDxfId="497" totalsRowDxfId="498"/>
    <tableColumn id="9" xr3:uid="{00000000-0010-0000-1200-000009000000}" name="Total AFP" dataDxfId="495" totalsRowDxfId="496"/>
    <tableColumn id="10" xr3:uid="{00000000-0010-0000-1200-00000A000000}" name="FPBC" dataDxfId="493" totalsRowDxfId="494"/>
    <tableColumn id="11" xr3:uid="{00000000-0010-0000-1200-00000B000000}" name="Bco Reservas" dataDxfId="491" totalsRowDxfId="492"/>
    <tableColumn id="12" xr3:uid="{00000000-0010-0000-1200-00000C000000}" name="INABIMA" dataDxfId="489" totalsRowDxfId="490"/>
    <tableColumn id="13" xr3:uid="{00000000-0010-0000-1200-00000D000000}" name="Ministerio de Hacienda" dataDxfId="487" totalsRowDxfId="488"/>
    <tableColumn id="14" xr3:uid="{00000000-0010-0000-1200-00000E000000}" name="Total Reparto" dataDxfId="485" totalsRowDxfId="486"/>
    <tableColumn id="15" xr3:uid="{00000000-0010-0000-1200-00000F000000}" name="Total General" dataDxfId="483" totalsRowDxfId="484"/>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1000000}" name="Tabla153" displayName="Tabla153" ref="B7:H21" totalsRowShown="0" headerRowDxfId="751" dataDxfId="750">
  <tableColumns count="7">
    <tableColumn id="1" xr3:uid="{00000000-0010-0000-0100-000001000000}" name="BASE LEGAL " dataDxfId="749"/>
    <tableColumn id="2" xr3:uid="{00000000-0010-0000-0100-000002000000}" name="FECHA_INICIO " dataDxfId="748"/>
    <tableColumn id="3" xr3:uid="{00000000-0010-0000-0100-000003000000}" name="FECHA_FINAl" dataDxfId="747"/>
    <tableColumn id="7" xr3:uid="{00000000-0010-0000-0100-000007000000}" name="Columna1" dataDxfId="746" dataCellStyle="Millares 33"/>
    <tableColumn id="4" xr3:uid="{00000000-0010-0000-0100-000004000000}" name="PERCAPITA" dataDxfId="745"/>
    <tableColumn id="5" xr3:uid="{00000000-0010-0000-0100-000005000000}" name="Aumentos" dataDxfId="744"/>
    <tableColumn id="6" xr3:uid="{00000000-0010-0000-0100-000006000000}" name="%" dataDxfId="743"/>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Tabla16" displayName="Tabla16" ref="A5:N23" totalsRowShown="0" headerRowDxfId="482" dataDxfId="481" headerRowBorderDxfId="480">
  <tableColumns count="14">
    <tableColumn id="1" xr3:uid="{00000000-0010-0000-1300-000001000000}" name="Años" dataDxfId="479"/>
    <tableColumn id="2" xr3:uid="{00000000-0010-0000-1300-000002000000}" name="Atlántico" dataDxfId="478"/>
    <tableColumn id="3" xr3:uid="{00000000-0010-0000-1300-000003000000}" name="Crecer" dataDxfId="477"/>
    <tableColumn id="4" xr3:uid="{00000000-0010-0000-1300-000004000000}" name="JMMB-BDI" dataDxfId="476"/>
    <tableColumn id="5" xr3:uid="{00000000-0010-0000-1300-000005000000}" name="Popular" dataDxfId="475"/>
    <tableColumn id="6" xr3:uid="{00000000-0010-0000-1300-000006000000}" name="Reservas" dataDxfId="474"/>
    <tableColumn id="7" xr3:uid="{00000000-0010-0000-1300-000007000000}" name="Romana" dataDxfId="473"/>
    <tableColumn id="8" xr3:uid="{00000000-0010-0000-1300-000008000000}" name="Siembra" dataDxfId="472"/>
    <tableColumn id="9" xr3:uid="{00000000-0010-0000-1300-000009000000}" name="Total" dataDxfId="471"/>
    <tableColumn id="10" xr3:uid="{00000000-0010-0000-1300-00000A000000}" name="Ministerio de Hacienda" dataDxfId="470"/>
    <tableColumn id="11" xr3:uid="{00000000-0010-0000-1300-00000B000000}" name="Plan  Sustitutivo del Banco Central" dataDxfId="469"/>
    <tableColumn id="12" xr3:uid="{00000000-0010-0000-1300-00000C000000}" name="Plan  Sustitutivo del Banco de Reservas" dataDxfId="468"/>
    <tableColumn id="13" xr3:uid="{00000000-0010-0000-1300-00000D000000}" name="Plan Sustitutivo INABIMA" dataDxfId="467"/>
    <tableColumn id="14" xr3:uid="{00000000-0010-0000-1300-00000E000000}" name="Total General" dataDxfId="466"/>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a21" displayName="Tabla21" ref="A4:D22" totalsRowShown="0" headerRowDxfId="465" dataDxfId="464" headerRowBorderDxfId="462" tableBorderDxfId="463" totalsRowBorderDxfId="461">
  <tableColumns count="4">
    <tableColumn id="1" xr3:uid="{00000000-0010-0000-1400-000001000000}" name="Años" dataDxfId="460"/>
    <tableColumn id="2" xr3:uid="{00000000-0010-0000-1400-000002000000}" name="Ocupada Sector Formal" dataDxfId="459"/>
    <tableColumn id="3" xr3:uid="{00000000-0010-0000-1400-000003000000}" name="Afiliados  SRL" dataDxfId="458"/>
    <tableColumn id="4" xr3:uid="{00000000-0010-0000-1400-000004000000}" name="% Crecimiento" dataDxfId="457">
      <calculatedColumnFormula>C5/C4-1</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a22" displayName="Tabla22" ref="A4:G21" totalsRowShown="0" headerRowDxfId="455" dataDxfId="454" headerRowBorderDxfId="452" tableBorderDxfId="453" totalsRowBorderDxfId="451">
  <tableColumns count="7">
    <tableColumn id="1" xr3:uid="{00000000-0010-0000-1500-000001000000}" name="Grupo" dataDxfId="450"/>
    <tableColumn id="2" xr3:uid="{00000000-0010-0000-1500-000002000000}" name="Afiliados por Grupo de Edad" dataDxfId="449"/>
    <tableColumn id="3" xr3:uid="{00000000-0010-0000-1500-000003000000}" name="%" dataDxfId="448"/>
    <tableColumn id="4" xr3:uid="{00000000-0010-0000-1500-000004000000}" name="Hombres" dataDxfId="447"/>
    <tableColumn id="5" xr3:uid="{00000000-0010-0000-1500-000005000000}" name=" % Hombres" dataDxfId="446">
      <calculatedColumnFormula>D5/B5</calculatedColumnFormula>
    </tableColumn>
    <tableColumn id="6" xr3:uid="{00000000-0010-0000-1500-000006000000}" name="Mujeres" dataDxfId="445"/>
    <tableColumn id="7" xr3:uid="{00000000-0010-0000-1500-000007000000}" name=" %  Mujeres" dataDxfId="444">
      <calculatedColumnFormula>+F5/B5</calculatedColumnFormula>
    </tableColumn>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a23" displayName="Tabla23" ref="A4:E24" totalsRowShown="0" headerRowDxfId="441" dataDxfId="440" headerRowBorderDxfId="438" tableBorderDxfId="439" totalsRowBorderDxfId="437">
  <tableColumns count="5">
    <tableColumn id="1" xr3:uid="{00000000-0010-0000-1600-000001000000}" name="Años" dataDxfId="436"/>
    <tableColumn id="2" xr3:uid="{00000000-0010-0000-1600-000002000000}" name="Afiliación al SRL" dataDxfId="435"/>
    <tableColumn id="3" xr3:uid="{00000000-0010-0000-1600-000003000000}" name="Total Casos de Accid. Laborales y Enf. Prof." dataDxfId="434"/>
    <tableColumn id="4" xr3:uid="{00000000-0010-0000-1600-000004000000}" name="Accidentabilidad Afiliados_x000a_(No. de accidentes por cada 100,000 afiliados)" dataDxfId="433"/>
    <tableColumn id="5" xr3:uid="{00000000-0010-0000-1600-000005000000}" name="Tasa de accidentabilidad   " dataDxfId="432"/>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a24" displayName="Tabla24" ref="A5:K17" headerRowDxfId="396" dataDxfId="395" headerRowBorderDxfId="393" tableBorderDxfId="394" totalsRowBorderDxfId="392" headerRowCellStyle="Normal 2">
  <autoFilter ref="A5:K17" xr:uid="{00000000-0009-0000-0100-000018000000}"/>
  <tableColumns count="11">
    <tableColumn id="1" xr3:uid="{00000000-0010-0000-1700-000001000000}" name="Años" totalsRowLabel="Total" dataDxfId="390" totalsRowDxfId="391"/>
    <tableColumn id="2" xr3:uid="{00000000-0010-0000-1700-000002000000}" name="Recaudo RC_x000a_ (Incluye recargos e Intereses)" dataDxfId="388" totalsRowDxfId="389"/>
    <tableColumn id="3" xr3:uid="{00000000-0010-0000-1700-000003000000}" name="Aportes del Gob._x000a_Según Presupuesto                    (SFS RS)" dataDxfId="386" totalsRowDxfId="387"/>
    <tableColumn id="4" xr3:uid="{00000000-0010-0000-1700-000004000000}" name="Rendimientos Inversiones *" dataDxfId="384" totalsRowDxfId="385"/>
    <tableColumn id="5" xr3:uid="{00000000-0010-0000-1700-000005000000}" name="Aportes  a_x000a_ FONAMAT" dataDxfId="382" totalsRowDxfId="383"/>
    <tableColumn id="6" xr3:uid="{00000000-0010-0000-1700-000006000000}" name="Aportes del Gob. Central Para pensionados" dataDxfId="380" totalsRowDxfId="381"/>
    <tableColumn id="7" xr3:uid="{00000000-0010-0000-1700-000007000000}" name="Ingresos SDSS" dataDxfId="379"/>
    <tableColumn id="8" xr3:uid="{00000000-0010-0000-1700-000008000000}" name="Pagos RC" dataDxfId="377" totalsRowDxfId="378"/>
    <tableColumn id="9" xr3:uid="{00000000-0010-0000-1700-000009000000}" name="Pagos a SENASA RS " dataDxfId="375" totalsRowDxfId="376"/>
    <tableColumn id="10" xr3:uid="{00000000-0010-0000-1700-00000A000000}" name="Pago Salud Pensionados" dataDxfId="373" totalsRowDxfId="374"/>
    <tableColumn id="11" xr3:uid="{00000000-0010-0000-1700-00000B000000}" name="Egresos SDSS" totalsRowFunction="sum" dataDxfId="372"/>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a26" displayName="Tabla26" ref="A4:E16" totalsRowShown="0" headerRowDxfId="367" dataDxfId="366" headerRowBorderDxfId="364" tableBorderDxfId="365" totalsRowBorderDxfId="363">
  <tableColumns count="5">
    <tableColumn id="1" xr3:uid="{00000000-0010-0000-1800-000001000000}" name="Períodos" dataDxfId="362" dataCellStyle="Normal 104"/>
    <tableColumn id="2" xr3:uid="{00000000-0010-0000-1800-000002000000}" name="Sector  Público" dataDxfId="361"/>
    <tableColumn id="3" xr3:uid="{00000000-0010-0000-1800-000003000000}" name="Sector Privado" dataDxfId="360"/>
    <tableColumn id="4" xr3:uid="{00000000-0010-0000-1800-000004000000}" name="PE_Aportes Extraordinario Persona" dataDxfId="359"/>
    <tableColumn id="5" xr3:uid="{00000000-0010-0000-1800-000005000000}" name="Recaudo Total" dataDxfId="358"/>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a27" displayName="Tabla27" ref="A4:G23" totalsRowShown="0" headerRowDxfId="356" dataDxfId="355" headerRowBorderDxfId="353" tableBorderDxfId="354" totalsRowBorderDxfId="352" headerRowCellStyle="Normal 105">
  <tableColumns count="7">
    <tableColumn id="1" xr3:uid="{00000000-0010-0000-1900-000001000000}" name="Período" dataDxfId="351" dataCellStyle="Normal 105"/>
    <tableColumn id="2" xr3:uid="{00000000-0010-0000-1900-000002000000}" name="Trabajador Sector Público" dataDxfId="350"/>
    <tableColumn id="3" xr3:uid="{00000000-0010-0000-1900-000003000000}" name="Trabajador Sector Privado" dataDxfId="349"/>
    <tableColumn id="4" xr3:uid="{00000000-0010-0000-1900-000004000000}" name=" Empleador Sector Público" dataDxfId="348"/>
    <tableColumn id="5" xr3:uid="{00000000-0010-0000-1900-000005000000}" name="Empleador  Sector Privado" dataDxfId="347"/>
    <tableColumn id="6" xr3:uid="{00000000-0010-0000-1900-000006000000}" name="PE_Aportes Extraordinario Persona" dataDxfId="346"/>
    <tableColumn id="7" xr3:uid="{00000000-0010-0000-1900-000007000000}" name="Total Recaudo" dataDxfId="345"/>
  </tableColumns>
  <tableStyleInfo name="Estilo de tabla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A000000}" name="Tabla3115" displayName="Tabla3115" ref="N24:P30" totalsRowShown="0" headerRowDxfId="344" dataDxfId="343" headerRowBorderDxfId="341" tableBorderDxfId="342" headerRowCellStyle="Normal 2 12">
  <tableColumns count="3">
    <tableColumn id="1" xr3:uid="{00000000-0010-0000-1A00-000001000000}" name=" €-   " dataDxfId="340" dataCellStyle="Normal 2 12">
      <calculatedColumnFormula>+'IV.2.7.INV_SFS x Entidad'!A5</calculatedColumnFormula>
    </tableColumn>
    <tableColumn id="2" xr3:uid="{00000000-0010-0000-1A00-000002000000}" name=" Total Invertido" dataDxfId="339">
      <calculatedColumnFormula>+'IV.2.7.INV_SFS x Entidad'!B5</calculatedColumnFormula>
    </tableColumn>
    <tableColumn id="3" xr3:uid="{00000000-0010-0000-1A00-000003000000}" name="%" dataDxfId="338" dataCellStyle="Normal 2 12">
      <calculatedColumnFormula>+Tabla3115[[#This Row],[ Total Invertido]]/$O$29</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a29" displayName="Tabla29" ref="A4:D8" totalsRowShown="0" headerRowDxfId="336" dataDxfId="335" headerRowBorderDxfId="333" tableBorderDxfId="334" dataCellStyle="Millares 4">
  <tableColumns count="4">
    <tableColumn id="1" xr3:uid="{00000000-0010-0000-1B00-000001000000}" name="Cuentas" dataDxfId="332" dataCellStyle="Millares 4"/>
    <tableColumn id="8" xr3:uid="{00000000-0010-0000-1B00-000008000000}" name="2024" dataDxfId="331" dataCellStyle="Millares 4"/>
    <tableColumn id="5" xr3:uid="{00000000-0010-0000-1B00-000005000000}" name="Ene- Abr. 2025" dataDxfId="330" dataCellStyle="Millares 4"/>
    <tableColumn id="11" xr3:uid="{00000000-0010-0000-1B00-00000B000000}" name="Total" dataDxfId="329" dataCellStyle="Millares 4">
      <calculatedColumnFormula>SUM(B5:C5)</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a30" displayName="Tabla30" ref="A4:F31" totalsRowCount="1" headerRowDxfId="326" dataDxfId="325" headerRowBorderDxfId="323" tableBorderDxfId="324" totalsRowBorderDxfId="322">
  <autoFilter ref="A4:F30" xr:uid="{00000000-0009-0000-0100-00001D000000}"/>
  <tableColumns count="6">
    <tableColumn id="1" xr3:uid="{00000000-0010-0000-1C00-000001000000}" name="No." dataDxfId="320" totalsRowDxfId="321"/>
    <tableColumn id="2" xr3:uid="{00000000-0010-0000-1C00-000002000000}" name="ARS" dataDxfId="318" totalsRowDxfId="319"/>
    <tableColumn id="3" xr3:uid="{00000000-0010-0000-1C00-000003000000}" name="Total General_x000a_2022- Mar.25" dataDxfId="316" totalsRowDxfId="317"/>
    <tableColumn id="5" xr3:uid="{00000000-0010-0000-1C00-000005000000}" name="Ene-Abr. 2025" dataDxfId="314" totalsRowDxfId="315">
      <calculatedColumnFormula>+'Resumen '!M72</calculatedColumnFormula>
    </tableColumn>
    <tableColumn id="4" xr3:uid="{00000000-0010-0000-1C00-000004000000}" name="2024" dataDxfId="312" totalsRowDxfId="313"/>
    <tableColumn id="7" xr3:uid="{00000000-0010-0000-1C00-000007000000}" name="2022-2023" dataDxfId="310" totalsRowDxfId="311">
      <calculatedColumnFormula>+#REF!+#REF!</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a2" displayName="Tabla2" ref="A4:L22" totalsRowShown="0" headerRowDxfId="741" dataDxfId="740" headerRowBorderDxfId="738" tableBorderDxfId="739" totalsRowBorderDxfId="737">
  <tableColumns count="12">
    <tableColumn id="1" xr3:uid="{00000000-0010-0000-0200-000001000000}" name="Años" dataDxfId="736"/>
    <tableColumn id="3" xr3:uid="{00000000-0010-0000-0200-000003000000}" name="Empresas Privadas" dataDxfId="735"/>
    <tableColumn id="4" xr3:uid="{00000000-0010-0000-0200-000004000000}" name=" Empresas Públicas " dataDxfId="734"/>
    <tableColumn id="5" xr3:uid="{00000000-0010-0000-0200-000005000000}" name="Empresas Públicas Centralizadas" dataDxfId="733"/>
    <tableColumn id="14" xr3:uid="{00000000-0010-0000-0200-00000E000000}" name="Empresas Pendiente en Clasificar" dataDxfId="732"/>
    <tableColumn id="7" xr3:uid="{00000000-0010-0000-0200-000007000000}" name="Total Empresas" dataDxfId="731">
      <calculatedColumnFormula>SUM(B5:E5)</calculatedColumnFormula>
    </tableColumn>
    <tableColumn id="8" xr3:uid="{00000000-0010-0000-0200-000008000000}" name=" Empleados Privados" dataDxfId="730"/>
    <tableColumn id="9" xr3:uid="{00000000-0010-0000-0200-000009000000}" name="Empleados  Públicos " dataDxfId="729"/>
    <tableColumn id="10" xr3:uid="{00000000-0010-0000-0200-00000A000000}" name="Empleados Públicos Centralizados" dataDxfId="728"/>
    <tableColumn id="12" xr3:uid="{00000000-0010-0000-0200-00000C000000}" name="Total  Empleados" dataDxfId="727">
      <calculatedColumnFormula>SUM(G5:I5)+Tabla2[[#This Row],[Empresas y Empleados sin claficar]]</calculatedColumnFormula>
    </tableColumn>
    <tableColumn id="11" xr3:uid="{00000000-0010-0000-0200-00000B000000}" name="Empresas y Empleados sin claficar" dataDxfId="726">
      <calculatedColumnFormula>+Tabla2[[#This Row],[Empresas Pendiente en Clasificar]]</calculatedColumnFormula>
    </tableColumn>
    <tableColumn id="13" xr3:uid="{00000000-0010-0000-0200-00000D000000}" name="Relación Promedio Empleados / Empresas" dataDxfId="725"/>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a31" displayName="Tabla31" ref="A4:C9" totalsRowShown="0" headerRowDxfId="309" dataDxfId="308" headerRowBorderDxfId="306" tableBorderDxfId="307" headerRowCellStyle="Normal 2 12">
  <tableColumns count="3">
    <tableColumn id="1" xr3:uid="{00000000-0010-0000-1D00-000001000000}" name="Instrumentos" dataDxfId="305" dataCellStyle="Normal 2 12"/>
    <tableColumn id="2" xr3:uid="{00000000-0010-0000-1D00-000002000000}" name=" Total Invertido" dataDxfId="304"/>
    <tableColumn id="3" xr3:uid="{00000000-0010-0000-1D00-000003000000}" name="%" dataDxfId="303" dataCellStyle="Normal 2 12"/>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a32" displayName="Tabla32" ref="A4:C12" totalsRowShown="0" headerRowDxfId="302" dataDxfId="301" headerRowBorderDxfId="299" tableBorderDxfId="300" headerRowCellStyle="Millares 4">
  <tableColumns count="3">
    <tableColumn id="1" xr3:uid="{00000000-0010-0000-1E00-000001000000}" name="Cuentas" dataDxfId="298" dataCellStyle="Millares 4"/>
    <tableColumn id="2" xr3:uid="{00000000-0010-0000-1E00-000002000000}" name=" Total Invertido" dataDxfId="297"/>
    <tableColumn id="3" xr3:uid="{00000000-0010-0000-1E00-000003000000}" name="%" dataDxfId="296" dataCellStyle="Normal 2 12"/>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a33" displayName="Tabla33" ref="A4:E16" totalsRowShown="0" headerRowDxfId="295" dataDxfId="294" headerRowBorderDxfId="292" tableBorderDxfId="293" totalsRowBorderDxfId="291">
  <tableColumns count="5">
    <tableColumn id="1" xr3:uid="{00000000-0010-0000-1F00-000001000000}" name="Años" dataDxfId="290"/>
    <tableColumn id="2" xr3:uid="{00000000-0010-0000-1F00-000002000000}" name="Aporte Gobierno (Presupuestado)" dataDxfId="289" dataCellStyle="Millares 3"/>
    <tableColumn id="3" xr3:uid="{00000000-0010-0000-1F00-000003000000}" name=" Pago a SENASA " dataDxfId="288"/>
    <tableColumn id="5" xr3:uid="{00000000-0010-0000-1F00-000005000000}" name="Columna1" dataDxfId="287">
      <calculatedColumnFormula>+#REF!*1000000</calculatedColumnFormula>
    </tableColumn>
    <tableColumn id="6" xr3:uid="{00000000-0010-0000-1F00-000006000000}" name="Columna2" dataDxfId="286">
      <calculatedColumnFormula>+Tabla33[[#This Row],[Aporte Gobierno (Presupuestado)]]/Tabla33[[#This Row],[Columna1]]</calculatedColumnFormula>
    </tableColumn>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a34" displayName="Tabla34" ref="A4:B16" totalsRowShown="0" headerRowDxfId="285" dataDxfId="284" headerRowBorderDxfId="282" tableBorderDxfId="283" totalsRowBorderDxfId="281">
  <tableColumns count="2">
    <tableColumn id="1" xr3:uid="{00000000-0010-0000-2000-000001000000}" name="Año" dataDxfId="280" dataCellStyle="Normal 2"/>
    <tableColumn id="2" xr3:uid="{00000000-0010-0000-2000-000002000000}" name="Pagos a Pensionados" dataDxfId="279"/>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a37" displayName="Tabla37" ref="A4:B16" totalsRowShown="0" headerRowDxfId="272" dataDxfId="271" headerRowBorderDxfId="269" tableBorderDxfId="270" totalsRowBorderDxfId="268">
  <tableColumns count="2">
    <tableColumn id="1" xr3:uid="{00000000-0010-0000-2100-000001000000}" name="Año" dataDxfId="267" dataCellStyle="Normal 2"/>
    <tableColumn id="2" xr3:uid="{00000000-0010-0000-2100-000002000000}" name="Dispersión SVDS" dataDxfId="26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2000000}" name="Tabla35" displayName="Tabla35" ref="A4:F14" totalsRowShown="0" headerRowDxfId="264" dataDxfId="263" headerRowBorderDxfId="261" tableBorderDxfId="262" totalsRowBorderDxfId="260" headerRowCellStyle="Normal 2 2" dataCellStyle="Normal 2 2">
  <tableColumns count="6">
    <tableColumn id="1" xr3:uid="{00000000-0010-0000-2200-000001000000}" name="Cuentas" dataDxfId="259" dataCellStyle="Normal 2 2"/>
    <tableColumn id="9" xr3:uid="{00000000-0010-0000-2200-000009000000}" name="2022" dataDxfId="258" dataCellStyle="Normal 2 2"/>
    <tableColumn id="8" xr3:uid="{00000000-0010-0000-2200-000008000000}" name="2023" dataDxfId="257" dataCellStyle="Normal 2 2"/>
    <tableColumn id="10" xr3:uid="{00000000-0010-0000-2200-00000A000000}" name="2024" dataDxfId="256" dataCellStyle="Normal 2 2"/>
    <tableColumn id="6" xr3:uid="{00000000-0010-0000-2200-000006000000}" name="Enero - Abril 2025" dataDxfId="255" dataCellStyle="Normal 2 2"/>
    <tableColumn id="7" xr3:uid="{00000000-0010-0000-2200-000007000000}" name="Total" dataDxfId="254" dataCellStyle="Normal 2 2">
      <calculatedColumnFormula>SUM(B5:E5)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3000000}" name="Tabla36" displayName="Tabla36" ref="A4:F20" totalsRowShown="0" headerRowDxfId="250" dataDxfId="249" headerRowBorderDxfId="247" tableBorderDxfId="248" totalsRowBorderDxfId="246" headerRowCellStyle="Normal 43" dataCellStyle="Normal 114 2">
  <tableColumns count="6">
    <tableColumn id="1" xr3:uid="{00000000-0010-0000-2300-000001000000}" name="Totales Generales" dataDxfId="245" dataCellStyle="Normal 114 2"/>
    <tableColumn id="7" xr3:uid="{00000000-0010-0000-2300-000007000000}" name="2022" dataDxfId="244" dataCellStyle="Normal 114 2"/>
    <tableColumn id="8" xr3:uid="{00000000-0010-0000-2300-000008000000}" name="2023" dataDxfId="243" dataCellStyle="Normal 114 2"/>
    <tableColumn id="9" xr3:uid="{00000000-0010-0000-2300-000009000000}" name="2024" dataDxfId="242" dataCellStyle="Normal 114 2"/>
    <tableColumn id="5" xr3:uid="{00000000-0010-0000-2300-000005000000}" name="Ene-Abr. 25" dataDxfId="241"/>
    <tableColumn id="6" xr3:uid="{00000000-0010-0000-2300-000006000000}" name="Total" dataDxfId="240"/>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a40" displayName="Tabla40" ref="A4:E22" totalsRowShown="0" headerRowDxfId="238" dataDxfId="237" headerRowBorderDxfId="235" tableBorderDxfId="236" totalsRowBorderDxfId="234" headerRowCellStyle="Normal 24">
  <tableColumns count="5">
    <tableColumn id="1" xr3:uid="{00000000-0010-0000-2400-000001000000}" name="Período" dataDxfId="233"/>
    <tableColumn id="2" xr3:uid="{00000000-0010-0000-2400-000002000000}" name="Patrimonio Fondos de Pensiones _x000a_(RD$ Millones)" dataDxfId="232"/>
    <tableColumn id="3" xr3:uid="{00000000-0010-0000-2400-000003000000}" name="Tasa de crecimiento Anual" dataDxfId="231" dataCellStyle="Normal 24"/>
    <tableColumn id="4" xr3:uid="{00000000-0010-0000-2400-000004000000}" name="PIB Corriente _x000a_(RD$ Millones)" dataDxfId="230"/>
    <tableColumn id="5" xr3:uid="{00000000-0010-0000-2400-000005000000}" name="% Patrimonio/ PIB" dataDxfId="229" dataCellStyle="Normal 24">
      <calculatedColumnFormula>B5/D5</calculatedColumnFormula>
    </tableColumn>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5000000}" name="Tabla4112" displayName="Tabla4112" ref="A4:C14" totalsRowShown="0" headerRowDxfId="228" dataDxfId="227" headerRowBorderDxfId="225" tableBorderDxfId="226">
  <sortState xmlns:xlrd2="http://schemas.microsoft.com/office/spreadsheetml/2017/richdata2" ref="A5:C15">
    <sortCondition descending="1" ref="C5:C15"/>
  </sortState>
  <tableColumns count="3">
    <tableColumn id="1" xr3:uid="{00000000-0010-0000-2500-000001000000}" name="Entidades" dataDxfId="224" dataCellStyle="Normal 25"/>
    <tableColumn id="2" xr3:uid="{00000000-0010-0000-2500-000002000000}" name="Inversión " dataDxfId="223"/>
    <tableColumn id="3" xr3:uid="{00000000-0010-0000-2500-000003000000}" name="% Participación" dataDxfId="222" dataCellStyle="Normal 25">
      <calculatedColumnFormula>+Tabla4112[[#This Row],[Inversión ]]/#REF!</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6000000}" name="Tabla39" displayName="Tabla39" ref="A5:C41" totalsRowShown="0" headerRowDxfId="220" dataDxfId="219" headerRowBorderDxfId="217" tableBorderDxfId="218" totalsRowBorderDxfId="216">
  <tableColumns count="3">
    <tableColumn id="1" xr3:uid="{00000000-0010-0000-2600-000001000000}" name="Período" dataDxfId="215" dataCellStyle="Normal 26"/>
    <tableColumn id="2" xr3:uid="{00000000-0010-0000-2600-000002000000}" name="Promedio CCI " dataDxfId="214" dataCellStyle="Normal 26"/>
    <tableColumn id="3" xr3:uid="{00000000-0010-0000-2600-000003000000}" name="Promedio Sistema" dataDxfId="213" dataCellStyle="Normal 26"/>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A4:E14" totalsRowShown="0" headerRowDxfId="722" dataDxfId="721" headerRowBorderDxfId="719" tableBorderDxfId="720" totalsRowBorderDxfId="718">
  <tableColumns count="5">
    <tableColumn id="1" xr3:uid="{00000000-0010-0000-0300-000001000000}" name="Rango de Empleados" dataDxfId="717"/>
    <tableColumn id="2" xr3:uid="{00000000-0010-0000-0300-000002000000}" name="Empresas por rango" dataDxfId="716"/>
    <tableColumn id="3" xr3:uid="{00000000-0010-0000-0300-000003000000}" name="% Empresas por rango" dataDxfId="715"/>
    <tableColumn id="4" xr3:uid="{00000000-0010-0000-0300-000004000000}" name="Empleados por rango" dataDxfId="714"/>
    <tableColumn id="5" xr3:uid="{00000000-0010-0000-0300-000005000000}" name="% Empleados por rango" dataDxfId="713"/>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7000000}" name="Tabla38" displayName="Tabla38" ref="A5:D23" totalsRowShown="0" headerRowDxfId="212" dataDxfId="211" totalsRowDxfId="210" headerRowBorderDxfId="208" tableBorderDxfId="209">
  <tableColumns count="4">
    <tableColumn id="1" xr3:uid="{00000000-0010-0000-2700-000001000000}" name="Período" totalsRowDxfId="207" dataCellStyle="Normal 26 3"/>
    <tableColumn id="2" xr3:uid="{00000000-0010-0000-2700-000002000000}" name="Rentabilidad Nominal del Sistema" totalsRowDxfId="206" dataCellStyle="Normal 26 3"/>
    <tableColumn id="3" xr3:uid="{00000000-0010-0000-2700-000003000000}" name="Inflación Acumulada" totalsRowDxfId="205" dataCellStyle="Normal 26 3"/>
    <tableColumn id="4" xr3:uid="{00000000-0010-0000-2700-000004000000}" name="Rentabilidad Real" totalsRowDxfId="204" dataCellStyle="Normal 26 3">
      <calculatedColumnFormula>B6-C6</calculatedColumnFormula>
    </tableColumn>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8000000}" name="Tabla318" displayName="Tabla318" ref="A4:C11" totalsRowShown="0" headerRowDxfId="197" dataDxfId="196" headerRowBorderDxfId="194" tableBorderDxfId="195" totalsRowBorderDxfId="193">
  <sortState xmlns:xlrd2="http://schemas.microsoft.com/office/spreadsheetml/2017/richdata2" ref="A5:B10">
    <sortCondition descending="1" ref="B5:B10"/>
  </sortState>
  <tableColumns count="3">
    <tableColumn id="1" xr3:uid="{00000000-0010-0000-2800-000001000000}" name="Composicion de Patrimonio de Fondo de Pensiones" dataDxfId="192"/>
    <tableColumn id="2" xr3:uid="{00000000-0010-0000-2800-000002000000}" name="Total" dataDxfId="191"/>
    <tableColumn id="3" xr3:uid="{00000000-0010-0000-2800-000003000000}" name="%" dataDxfId="190" dataCellStyle="Porcentaje">
      <calculatedColumnFormula>+Tabla318[[#This Row],[Total]]/$B$10</calculatedColumnFormula>
    </tableColumn>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a42" displayName="Tabla42" ref="A5:H25" totalsRowShown="0" headerRowDxfId="188" dataDxfId="187" headerRowBorderDxfId="185" tableBorderDxfId="186" totalsRowBorderDxfId="184">
  <tableColumns count="8">
    <tableColumn id="1" xr3:uid="{00000000-0010-0000-2900-000001000000}" name="Fecha" dataDxfId="183"/>
    <tableColumn id="2" xr3:uid="{00000000-0010-0000-2900-000002000000}" name=" Prestaciones de Beneficios_x000a_ (ARL Salud Segura)" dataDxfId="182"/>
    <tableColumn id="3" xr3:uid="{00000000-0010-0000-2900-000003000000}" name="% / Total" dataDxfId="181">
      <calculatedColumnFormula>B6/H6</calculatedColumnFormula>
    </tableColumn>
    <tableColumn id="4" xr3:uid="{00000000-0010-0000-2900-000004000000}" name="Comisión SISALRIL" dataDxfId="180"/>
    <tableColumn id="5" xr3:uid="{00000000-0010-0000-2900-000005000000}" name="% / Total2" dataDxfId="179">
      <calculatedColumnFormula>D6/H6</calculatedColumnFormula>
    </tableColumn>
    <tableColumn id="6" xr3:uid="{00000000-0010-0000-2900-000006000000}" name="Fondos de Solidaridad FSS (SRL)" dataDxfId="178"/>
    <tableColumn id="7" xr3:uid="{00000000-0010-0000-2900-000007000000}" name="% / Total3" dataDxfId="177">
      <calculatedColumnFormula>F6/H6</calculatedColumnFormula>
    </tableColumn>
    <tableColumn id="8" xr3:uid="{00000000-0010-0000-2900-000008000000}" name="Total por Año" dataDxfId="176"/>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a43" displayName="Tabla43" ref="A3:I7" totalsRowShown="0" headerRowDxfId="175" dataDxfId="174" headerRowBorderDxfId="172" tableBorderDxfId="173" totalsRowBorderDxfId="171">
  <tableColumns count="9">
    <tableColumn id="1" xr3:uid="{00000000-0010-0000-2A00-000001000000}" name="Tipo de Subsidio" dataDxfId="170"/>
    <tableColumn id="2" xr3:uid="{00000000-0010-0000-2A00-000002000000}" name="2015" dataDxfId="169"/>
    <tableColumn id="3" xr3:uid="{00000000-0010-0000-2A00-000003000000}" name="2016" dataDxfId="168"/>
    <tableColumn id="22" xr3:uid="{00000000-0010-0000-2A00-000016000000}" name="2017" dataDxfId="167"/>
    <tableColumn id="21" xr3:uid="{00000000-0010-0000-2A00-000015000000}" name="2018" dataDxfId="166"/>
    <tableColumn id="4" xr3:uid="{00000000-0010-0000-2A00-000004000000}" name="2019" dataDxfId="165"/>
    <tableColumn id="15" xr3:uid="{00000000-0010-0000-2A00-00000F000000}" name="2020" dataDxfId="164"/>
    <tableColumn id="16" xr3:uid="{00000000-0010-0000-2A00-000010000000}" name="2021" dataDxfId="163"/>
    <tableColumn id="5" xr3:uid="{00000000-0010-0000-2A00-000005000000}" name="2022" dataDxfId="162"/>
  </tableColumns>
  <tableStyleInfo name="Estilo de tabla 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a44" displayName="Tabla44" ref="A3:J7" totalsRowShown="0" headerRowDxfId="161" dataDxfId="160" headerRowBorderDxfId="158" tableBorderDxfId="159" totalsRowBorderDxfId="157" headerRowCellStyle="20% - Accent3 2" dataCellStyle="20% - Accent3 2">
  <tableColumns count="10">
    <tableColumn id="1" xr3:uid="{00000000-0010-0000-2B00-000001000000}" name="Tipo de Subsidio" dataDxfId="156"/>
    <tableColumn id="11" xr3:uid="{00000000-0010-0000-2B00-00000B000000}" name="2015" dataDxfId="155"/>
    <tableColumn id="12" xr3:uid="{00000000-0010-0000-2B00-00000C000000}" name="2016" dataDxfId="154"/>
    <tableColumn id="13" xr3:uid="{00000000-0010-0000-2B00-00000D000000}" name="2017" dataDxfId="153"/>
    <tableColumn id="14" xr3:uid="{00000000-0010-0000-2B00-00000E000000}" name="2018" dataDxfId="152"/>
    <tableColumn id="15" xr3:uid="{00000000-0010-0000-2B00-00000F000000}" name="2019" dataDxfId="151"/>
    <tableColumn id="2" xr3:uid="{00000000-0010-0000-2B00-000002000000}" name="2020" dataDxfId="150"/>
    <tableColumn id="3" xr3:uid="{00000000-0010-0000-2B00-000003000000}" name="2021" dataDxfId="149"/>
    <tableColumn id="5" xr3:uid="{00000000-0010-0000-2B00-000005000000}" name="2022" dataDxfId="148"/>
    <tableColumn id="10" xr3:uid="{00000000-0010-0000-2B00-00000A000000}" name="Total" dataDxfId="147"/>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C000000}" name="Tabla414" displayName="Tabla414" ref="N14:O18" totalsRowShown="0" headerRowDxfId="146" dataDxfId="145" headerRowBorderDxfId="143" tableBorderDxfId="144">
  <tableColumns count="2">
    <tableColumn id="1" xr3:uid="{00000000-0010-0000-2C00-000001000000}" name="Concepto" dataDxfId="142">
      <calculatedColumnFormula>+'V.3.3.Pens.Disc. AFP'!A5</calculatedColumnFormula>
    </tableColumn>
    <tableColumn id="2" xr3:uid="{00000000-0010-0000-2C00-000002000000}" name="RD$" dataDxfId="141" dataCellStyle="Millares 10 2">
      <calculatedColumnFormula>+'V.3.3.Pens.Disc. AFP'!B5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D000000}" name="Tabla45" displayName="Tabla45" ref="A5:G25" totalsRowShown="0" headerRowDxfId="140" dataDxfId="139" headerRowBorderDxfId="137" tableBorderDxfId="138">
  <tableColumns count="7">
    <tableColumn id="1" xr3:uid="{00000000-0010-0000-2D00-000001000000}" name="Períodos" dataDxfId="136"/>
    <tableColumn id="2" xr3:uid="{00000000-0010-0000-2D00-000002000000}" name="Discapacidad" dataDxfId="135"/>
    <tableColumn id="3" xr3:uid="{00000000-0010-0000-2D00-000003000000}" name="Sobrevivencia" dataDxfId="134"/>
    <tableColumn id="4" xr3:uid="{00000000-0010-0000-2D00-000004000000}" name="Retiro Programado" dataDxfId="133"/>
    <tableColumn id="5" xr3:uid="{00000000-0010-0000-2D00-000005000000}" name="Total Pensiones" dataDxfId="132"/>
    <tableColumn id="6" xr3:uid="{00000000-0010-0000-2D00-000006000000}" name="% Discapacidad" dataDxfId="131"/>
    <tableColumn id="7" xr3:uid="{00000000-0010-0000-2D00-000007000000}" name="% Sobrevivencia" dataDxfId="130"/>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E000000}" name="Tabla4" displayName="Tabla4" ref="A4:B8" totalsRowShown="0" headerRowDxfId="129" dataDxfId="128" headerRowBorderDxfId="126" tableBorderDxfId="127">
  <tableColumns count="2">
    <tableColumn id="1" xr3:uid="{00000000-0010-0000-2E00-000001000000}" name="Concepto" dataDxfId="125"/>
    <tableColumn id="2" xr3:uid="{00000000-0010-0000-2E00-000002000000}" name="RD$" dataDxfId="124" dataCellStyle="Millares 10 2"/>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F000000}" name="Tabla46" displayName="Tabla46" ref="A4:F25" totalsRowShown="0" headerRowDxfId="123" dataDxfId="122" headerRowBorderDxfId="120" tableBorderDxfId="121" totalsRowBorderDxfId="119">
  <tableColumns count="6">
    <tableColumn id="1" xr3:uid="{00000000-0010-0000-2F00-000001000000}" name="Años" dataDxfId="118"/>
    <tableColumn id="2" xr3:uid="{00000000-0010-0000-2F00-000002000000}" name="Accidentes de Trabajo" dataDxfId="117"/>
    <tableColumn id="3" xr3:uid="{00000000-0010-0000-2F00-000003000000}" name="Enfermedades Profesionales" dataDxfId="116"/>
    <tableColumn id="4" xr3:uid="{00000000-0010-0000-2F00-000004000000}" name="Total Casos" dataDxfId="115"/>
    <tableColumn id="5" xr3:uid="{00000000-0010-0000-2F00-000005000000}" name="% Accidentes Laborales" dataDxfId="114"/>
    <tableColumn id="6" xr3:uid="{00000000-0010-0000-2F00-000006000000}" name="% Enfermedades Profesionales" dataDxfId="113"/>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0000000}" name="Tabla47" displayName="Tabla47" ref="A4:R23" totalsRowShown="0" headerRowDxfId="112" dataDxfId="111" headerRowBorderDxfId="109" tableBorderDxfId="110" totalsRowBorderDxfId="108">
  <tableColumns count="18">
    <tableColumn id="1" xr3:uid="{00000000-0010-0000-3000-000001000000}" name="Año " dataDxfId="107"/>
    <tableColumn id="2" xr3:uid="{00000000-0010-0000-3000-000002000000}" name="Región 0" dataDxfId="106"/>
    <tableColumn id="3" xr3:uid="{00000000-0010-0000-3000-000003000000}" name="Región I" dataDxfId="105"/>
    <tableColumn id="4" xr3:uid="{00000000-0010-0000-3000-000004000000}" name="Región II" dataDxfId="104"/>
    <tableColumn id="5" xr3:uid="{00000000-0010-0000-3000-000005000000}" name="Región III" dataDxfId="103"/>
    <tableColumn id="6" xr3:uid="{00000000-0010-0000-3000-000006000000}" name="Región IV" dataDxfId="102"/>
    <tableColumn id="7" xr3:uid="{00000000-0010-0000-3000-000007000000}" name="Región V" dataDxfId="101"/>
    <tableColumn id="8" xr3:uid="{00000000-0010-0000-3000-000008000000}" name="Región VI" dataDxfId="100"/>
    <tableColumn id="9" xr3:uid="{00000000-0010-0000-3000-000009000000}" name="Región VII" dataDxfId="99"/>
    <tableColumn id="11" xr3:uid="{00000000-0010-0000-3000-00000B000000}" name="Total Anual" dataDxfId="98"/>
    <tableColumn id="12" xr3:uid="{00000000-0010-0000-3000-00000C000000}" name="% Región 0" dataDxfId="97">
      <calculatedColumnFormula>B5/J5</calculatedColumnFormula>
    </tableColumn>
    <tableColumn id="13" xr3:uid="{00000000-0010-0000-3000-00000D000000}" name="% Región I" dataDxfId="96">
      <calculatedColumnFormula>C5/J5</calculatedColumnFormula>
    </tableColumn>
    <tableColumn id="14" xr3:uid="{00000000-0010-0000-3000-00000E000000}" name="% Región II" dataDxfId="95">
      <calculatedColumnFormula>D5/J5</calculatedColumnFormula>
    </tableColumn>
    <tableColumn id="15" xr3:uid="{00000000-0010-0000-3000-00000F000000}" name="% Región III" dataDxfId="94">
      <calculatedColumnFormula>E5/J5</calculatedColumnFormula>
    </tableColumn>
    <tableColumn id="16" xr3:uid="{00000000-0010-0000-3000-000010000000}" name="% Región IV" dataDxfId="93">
      <calculatedColumnFormula>F5/J5</calculatedColumnFormula>
    </tableColumn>
    <tableColumn id="17" xr3:uid="{00000000-0010-0000-3000-000011000000}" name="% Región V" dataDxfId="92">
      <calculatedColumnFormula>G5/J5</calculatedColumnFormula>
    </tableColumn>
    <tableColumn id="18" xr3:uid="{00000000-0010-0000-3000-000012000000}" name="% Región VI" dataDxfId="91">
      <calculatedColumnFormula>H5/J5</calculatedColumnFormula>
    </tableColumn>
    <tableColumn id="19" xr3:uid="{00000000-0010-0000-3000-000013000000}" name="% Región VII" dataDxfId="90">
      <calculatedColumnFormula>I5/J5</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4:E22" totalsRowShown="0" headerRowDxfId="704" dataDxfId="703" headerRowBorderDxfId="701" tableBorderDxfId="702" totalsRowBorderDxfId="700">
  <tableColumns count="5">
    <tableColumn id="1" xr3:uid="{00000000-0010-0000-0400-000001000000}" name="Años" dataDxfId="699"/>
    <tableColumn id="2" xr3:uid="{00000000-0010-0000-0400-000002000000}" name="Afiliación SFS" dataDxfId="698"/>
    <tableColumn id="3" xr3:uid="{00000000-0010-0000-0400-000003000000}" name="Población Nacional estimada" dataDxfId="697"/>
    <tableColumn id="4" xr3:uid="{00000000-0010-0000-0400-000004000000}" name="% Población Total Afiliada al  SFS" dataDxfId="696">
      <calculatedColumnFormula>B5/C5</calculatedColumnFormula>
    </tableColumn>
    <tableColumn id="5" xr3:uid="{00000000-0010-0000-0400-000005000000}" name="Tasa de Crecimiento Anual" dataDxfId="695"/>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1000000}" name="Tabla48" displayName="Tabla48" ref="A4:I37" totalsRowShown="0" headerRowDxfId="89" dataDxfId="88" headerRowBorderDxfId="86" tableBorderDxfId="87" totalsRowBorderDxfId="85">
  <sortState xmlns:xlrd2="http://schemas.microsoft.com/office/spreadsheetml/2017/richdata2" ref="A5:I37">
    <sortCondition descending="1" ref="G5:G37"/>
  </sortState>
  <tableColumns count="9">
    <tableColumn id="1" xr3:uid="{00000000-0010-0000-3100-000001000000}" name="Provincias" dataDxfId="84"/>
    <tableColumn id="13" xr3:uid="{00000000-0010-0000-3100-00000D000000}" name="2007-2012" dataDxfId="83">
      <calculatedColumnFormula>+#REF!+#REF!+#REF!</calculatedColumnFormula>
    </tableColumn>
    <tableColumn id="14" xr3:uid="{00000000-0010-0000-3100-00000E000000}" name="2013-2018" dataDxfId="82">
      <calculatedColumnFormula>+#REF!+#REF!+#REF!</calculatedColumnFormula>
    </tableColumn>
    <tableColumn id="15" xr3:uid="{00000000-0010-0000-3100-00000F000000}" name="2019-2021" dataDxfId="81">
      <calculatedColumnFormula>+#REF!+#REF!</calculatedColumnFormula>
    </tableColumn>
    <tableColumn id="3" xr3:uid="{00000000-0010-0000-3100-000003000000}" name="2022-2023" dataDxfId="80">
      <calculatedColumnFormula>+#REF!+Tabla48[[#This Row],[Ene-Abr-25]]</calculatedColumnFormula>
    </tableColumn>
    <tableColumn id="2" xr3:uid="{00000000-0010-0000-3100-000002000000}" name="2024" dataDxfId="79" dataCellStyle="Millares"/>
    <tableColumn id="10" xr3:uid="{00000000-0010-0000-3100-00000A000000}" name="Ene-Abr-25" dataDxfId="78">
      <calculatedColumnFormula>+#REF!</calculatedColumnFormula>
    </tableColumn>
    <tableColumn id="11" xr3:uid="{00000000-0010-0000-3100-00000B000000}" name="Total " dataDxfId="77">
      <calculatedColumnFormula>SUM(B5:G5)</calculatedColumnFormula>
    </tableColumn>
    <tableColumn id="12" xr3:uid="{00000000-0010-0000-3100-00000C000000}" name="% Provincia" dataDxfId="76" dataCellStyle="Porcentaje">
      <calculatedColumnFormula>+Tabla48[[#This Row],[Total ]]/$H$37</calculatedColumn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2000000}" name="Tabla49" displayName="Tabla49" ref="A4:F24" totalsRowShown="0" headerRowDxfId="75" dataDxfId="74" headerRowBorderDxfId="72" tableBorderDxfId="73" totalsRowBorderDxfId="71">
  <tableColumns count="6">
    <tableColumn id="1" xr3:uid="{00000000-0010-0000-3200-000001000000}" name="Años" dataDxfId="70"/>
    <tableColumn id="2" xr3:uid="{00000000-0010-0000-3200-000002000000}" name="Sector Público" dataDxfId="69"/>
    <tableColumn id="3" xr3:uid="{00000000-0010-0000-3200-000003000000}" name="Sector Privado" dataDxfId="68"/>
    <tableColumn id="4" xr3:uid="{00000000-0010-0000-3200-000004000000}" name="Total " dataDxfId="67"/>
    <tableColumn id="5" xr3:uid="{00000000-0010-0000-3200-000005000000}" name="% Público" dataDxfId="66">
      <calculatedColumnFormula>B5/D5</calculatedColumnFormula>
    </tableColumn>
    <tableColumn id="6" xr3:uid="{00000000-0010-0000-3200-000006000000}" name="% Privado" dataDxfId="65">
      <calculatedColumnFormula>C5/D5</calculatedColumnFormula>
    </tableColumn>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la50" displayName="Tabla50" ref="A4:F24" totalsRowShown="0" headerRowDxfId="64" dataDxfId="63" headerRowBorderDxfId="61" tableBorderDxfId="62" totalsRowBorderDxfId="60">
  <tableColumns count="6">
    <tableColumn id="1" xr3:uid="{00000000-0010-0000-3300-000001000000}" name="Año" dataDxfId="59"/>
    <tableColumn id="2" xr3:uid="{00000000-0010-0000-3300-000002000000}" name="Femenino" dataDxfId="58"/>
    <tableColumn id="3" xr3:uid="{00000000-0010-0000-3300-000003000000}" name="Masculino" dataDxfId="57"/>
    <tableColumn id="4" xr3:uid="{00000000-0010-0000-3300-000004000000}" name="Total Casos" dataDxfId="56"/>
    <tableColumn id="5" xr3:uid="{00000000-0010-0000-3300-000005000000}" name="% Femenino" dataDxfId="55"/>
    <tableColumn id="6" xr3:uid="{00000000-0010-0000-3300-000006000000}" name="% Masculino" dataDxfId="54"/>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4000000}" name="Tabla51" displayName="Tabla51" ref="A4:H25" totalsRowCount="1" headerRowDxfId="53" dataDxfId="52" totalsRowDxfId="51" headerRowBorderDxfId="49" tableBorderDxfId="50" totalsRowBorderDxfId="48">
  <tableColumns count="8">
    <tableColumn id="1" xr3:uid="{00000000-0010-0000-3400-000001000000}" name="Años" dataDxfId="46" totalsRowDxfId="47"/>
    <tableColumn id="2" xr3:uid="{00000000-0010-0000-3400-000002000000}" name="Menor de 20 años" totalsRowFunction="custom" dataDxfId="44" totalsRowDxfId="45">
      <totalsRowFormula>+B24/$H$24</totalsRowFormula>
    </tableColumn>
    <tableColumn id="3" xr3:uid="{00000000-0010-0000-3400-000003000000}" name="20 - 29" totalsRowFunction="custom" dataDxfId="42" totalsRowDxfId="43">
      <totalsRowFormula>+C24/$H$24</totalsRowFormula>
    </tableColumn>
    <tableColumn id="4" xr3:uid="{00000000-0010-0000-3400-000004000000}" name="30 - 39" totalsRowFunction="custom" dataDxfId="40" totalsRowDxfId="41">
      <totalsRowFormula>+D24/$H$24</totalsRowFormula>
    </tableColumn>
    <tableColumn id="5" xr3:uid="{00000000-0010-0000-3400-000005000000}" name="40 - 49" totalsRowFunction="custom" dataDxfId="38" totalsRowDxfId="39">
      <totalsRowFormula>+E24/$H$24</totalsRowFormula>
    </tableColumn>
    <tableColumn id="6" xr3:uid="{00000000-0010-0000-3400-000006000000}" name="50 - 59" totalsRowFunction="custom" dataDxfId="36" totalsRowDxfId="37">
      <totalsRowFormula>+F24/$H$24</totalsRowFormula>
    </tableColumn>
    <tableColumn id="7" xr3:uid="{00000000-0010-0000-3400-000007000000}" name="Mayor o igual a 60 años" totalsRowFunction="custom" dataDxfId="34" totalsRowDxfId="35">
      <totalsRowFormula>+G24/$H$24</totalsRowFormula>
    </tableColumn>
    <tableColumn id="8" xr3:uid="{00000000-0010-0000-3400-000008000000}" name="Total " totalsRowFunction="custom" dataDxfId="32" totalsRowDxfId="33">
      <totalsRowFormula>+H24/$H$24</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5000000}" name="Tabla5441" displayName="Tabla5441" ref="L16:P25" totalsRowShown="0" headerRowDxfId="31" dataDxfId="30" headerRowBorderDxfId="28" tableBorderDxfId="29">
  <tableColumns count="5">
    <tableColumn id="1" xr3:uid="{00000000-0010-0000-3500-000001000000}" name="EJECUCIÓN CMISS DESDE ESPAÑA" dataDxfId="26" totalsRowDxfId="27" dataCellStyle="Normal 87 2"/>
    <tableColumn id="4" xr3:uid="{00000000-0010-0000-3500-000004000000}" name="2024" dataDxfId="24" totalsRowDxfId="25" dataCellStyle="Normal 87 2"/>
    <tableColumn id="3" xr3:uid="{00000000-0010-0000-3500-000003000000}" name="Ene.2025" dataDxfId="22" totalsRowDxfId="23" dataCellStyle="Normal 87 2"/>
    <tableColumn id="6" xr3:uid="{00000000-0010-0000-3500-000006000000}" name="Total" dataDxfId="20" totalsRowDxfId="21" dataCellStyle="Normal 87 2"/>
    <tableColumn id="2" xr3:uid="{00000000-0010-0000-3500-000002000000}" name="Columna1" dataDxfId="18" totalsRowDxfId="19" dataCellStyle="Porcentaje">
      <calculatedColumnFormula>+Tabla5441[[#This Row],[Total]]/$O$24</calculatedColumnFormula>
    </tableColumn>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a55" displayName="Tabla55" ref="A4:D9" totalsRowShown="0" headerRowDxfId="17" dataDxfId="16" headerRowBorderDxfId="14" tableBorderDxfId="15">
  <tableColumns count="4">
    <tableColumn id="1" xr3:uid="{00000000-0010-0000-3600-000001000000}" name="Solicitudes" dataDxfId="13"/>
    <tableColumn id="2" xr3:uid="{00000000-0010-0000-3600-000002000000}" name="2024" dataDxfId="12" dataCellStyle="Normal 87 2"/>
    <tableColumn id="6" xr3:uid="{00000000-0010-0000-3600-000006000000}" name="Ene-Abr. 2025" dataDxfId="11" dataCellStyle="Normal 87 2"/>
    <tableColumn id="3" xr3:uid="{00000000-0010-0000-3600-000003000000}" name="Total" dataDxfId="10">
      <calculatedColumnFormula>+Tabla55[[#This Row],[Ene-Abr. 2025]]+Tabla55[[#This Row],[2024]]</calculatedColumnFormula>
    </tableColumn>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7000000}" name="Tabla54" displayName="Tabla54" ref="A4:C13" totalsRowShown="0" headerRowDxfId="9" dataDxfId="8" headerRowBorderDxfId="6" tableBorderDxfId="7">
  <tableColumns count="3">
    <tableColumn id="1" xr3:uid="{00000000-0010-0000-3700-000001000000}" name="EJECUCIÓN CMISS DESDE ESPAÑA" dataDxfId="4" totalsRowDxfId="5" dataCellStyle="Normal 87 2"/>
    <tableColumn id="2" xr3:uid="{00000000-0010-0000-3700-000002000000}" name="2024" dataDxfId="2" totalsRowDxfId="3" dataCellStyle="Normal 87 2"/>
    <tableColumn id="6" xr3:uid="{00000000-0010-0000-3700-000006000000}" name="Ene-Abr.25"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4:H22" totalsRowShown="0" headerRowDxfId="693" dataDxfId="692" headerRowBorderDxfId="690" tableBorderDxfId="691" totalsRowBorderDxfId="689">
  <tableColumns count="8">
    <tableColumn id="1" xr3:uid="{00000000-0010-0000-0500-000001000000}" name="Mes / Año" dataDxfId="688"/>
    <tableColumn id="2" xr3:uid="{00000000-0010-0000-0500-000002000000}" name="Afiliación  RC" dataDxfId="687"/>
    <tableColumn id="3" xr3:uid="{00000000-0010-0000-0500-000003000000}" name="Afiliación RS" dataDxfId="686"/>
    <tableColumn id="4" xr3:uid="{00000000-0010-0000-0500-000004000000}" name="Pensionados" dataDxfId="685"/>
    <tableColumn id="5" xr3:uid="{00000000-0010-0000-0500-000005000000}" name="Total " dataDxfId="684">
      <calculatedColumnFormula>SUM(B5:D5)</calculatedColumnFormula>
    </tableColumn>
    <tableColumn id="6" xr3:uid="{00000000-0010-0000-0500-000006000000}" name="%  RC " dataDxfId="683">
      <calculatedColumnFormula>B5/E5</calculatedColumnFormula>
    </tableColumn>
    <tableColumn id="7" xr3:uid="{00000000-0010-0000-0500-000007000000}" name="%   RS " dataDxfId="682">
      <calculatedColumnFormula>C5/E5</calculatedColumnFormula>
    </tableColumn>
    <tableColumn id="8" xr3:uid="{00000000-0010-0000-0500-000008000000}" name="%Pensionados " dataDxfId="681">
      <calculatedColumnFormula>+D5/E5</calculatedColumnFormula>
    </tableColumn>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6000000}" name="Tabla52" displayName="Tabla52" ref="A4:S23" totalsRowShown="0" headerRowDxfId="680" dataDxfId="679" headerRowBorderDxfId="677" tableBorderDxfId="678" totalsRowBorderDxfId="676" dataCellStyle="Millares 2 4">
  <tableColumns count="19">
    <tableColumn id="1" xr3:uid="{00000000-0010-0000-0600-000001000000}" name="Mes / Año" dataDxfId="675" dataCellStyle="Millares 2 4"/>
    <tableColumn id="2" xr3:uid="{00000000-0010-0000-0600-000002000000}" name="RS-Hombres" dataDxfId="674" dataCellStyle="Millares 2 4"/>
    <tableColumn id="3" xr3:uid="{00000000-0010-0000-0600-000003000000}" name="% Hombres" dataDxfId="673" dataCellStyle="Millares 2 4">
      <calculatedColumnFormula>+B5/(D5+B5)</calculatedColumnFormula>
    </tableColumn>
    <tableColumn id="4" xr3:uid="{00000000-0010-0000-0600-000004000000}" name="RS-Mujeres" dataDxfId="672" dataCellStyle="Millares 2 4"/>
    <tableColumn id="5" xr3:uid="{00000000-0010-0000-0600-000005000000}" name="%Mujeres" dataDxfId="671" dataCellStyle="Millares 2 4">
      <calculatedColumnFormula>+D5/(B5+D5)</calculatedColumnFormula>
    </tableColumn>
    <tableColumn id="6" xr3:uid="{00000000-0010-0000-0600-000006000000}" name="RC-Hombres " dataDxfId="670" dataCellStyle="Millares 2 4"/>
    <tableColumn id="7" xr3:uid="{00000000-0010-0000-0600-000007000000}" name="% Hombres3" dataDxfId="669" dataCellStyle="Millares 2 4">
      <calculatedColumnFormula>+F5/(H5+F5)</calculatedColumnFormula>
    </tableColumn>
    <tableColumn id="8" xr3:uid="{00000000-0010-0000-0600-000008000000}" name="RC-Mujeres" dataDxfId="668" dataCellStyle="Millares 2 4"/>
    <tableColumn id="9" xr3:uid="{00000000-0010-0000-0600-000009000000}" name="% Mujeres" dataDxfId="667" dataCellStyle="Millares 2 4">
      <calculatedColumnFormula>+H5/(F5+H5)</calculatedColumnFormula>
    </tableColumn>
    <tableColumn id="10" xr3:uid="{00000000-0010-0000-0600-00000A000000}" name="SFS-Hombres " dataDxfId="666" dataCellStyle="Millares 2 4"/>
    <tableColumn id="11" xr3:uid="{00000000-0010-0000-0600-00000B000000}" name="% Hombres6" dataDxfId="665" dataCellStyle="Millares 2 4">
      <calculatedColumnFormula>+J5/(L5+J5)</calculatedColumnFormula>
    </tableColumn>
    <tableColumn id="12" xr3:uid="{00000000-0010-0000-0600-00000C000000}" name="SFS-Mujeres  " dataDxfId="664" dataCellStyle="Millares 2 4">
      <calculatedColumnFormula>+H5+D5</calculatedColumnFormula>
    </tableColumn>
    <tableColumn id="13" xr3:uid="{00000000-0010-0000-0600-00000D000000}" name="% Mujeres8" dataDxfId="663" dataCellStyle="Millares 2 4">
      <calculatedColumnFormula>+L5/(J5+L5)</calculatedColumnFormula>
    </tableColumn>
    <tableColumn id="14" xr3:uid="{00000000-0010-0000-0600-00000E000000}" name="SFS-Total " dataDxfId="662" dataCellStyle="Millares 2 4">
      <calculatedColumnFormula>J5+L5</calculatedColumnFormula>
    </tableColumn>
    <tableColumn id="15" xr3:uid="{00000000-0010-0000-0600-00000F000000}" name="Indice de Masculinidad (IM) del  RC" dataDxfId="661" dataCellStyle="Millares 2 4">
      <calculatedColumnFormula>+F5/H5</calculatedColumnFormula>
    </tableColumn>
    <tableColumn id="16" xr3:uid="{00000000-0010-0000-0600-000010000000}" name="Indice de Femenidad  (IF)_x000a_RC" dataDxfId="660" dataCellStyle="Millares 2 4">
      <calculatedColumnFormula>H5/F5</calculatedColumnFormula>
    </tableColumn>
    <tableColumn id="17" xr3:uid="{00000000-0010-0000-0600-000011000000}" name="Indice de Feminidad (IF) RS" dataDxfId="659" dataCellStyle="Millares 2 4">
      <calculatedColumnFormula>+B5/D5</calculatedColumnFormula>
    </tableColumn>
    <tableColumn id="18" xr3:uid="{00000000-0010-0000-0600-000012000000}" name="% Mujeres SFS" dataDxfId="658" dataCellStyle="Millares 2 4">
      <calculatedColumnFormula>+C5/E5</calculatedColumnFormula>
    </tableColumn>
    <tableColumn id="19" xr3:uid="{00000000-0010-0000-0600-000013000000}" name="% Hombres SFS" dataDxfId="657" dataCellStyle="Millares 2 4">
      <calculatedColumnFormula>+D5/F5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8" displayName="Tabla8" ref="A4:J22" totalsRowShown="0" headerRowDxfId="654" dataDxfId="653" headerRowBorderDxfId="651" tableBorderDxfId="652" totalsRowBorderDxfId="650">
  <tableColumns count="10">
    <tableColumn id="1" xr3:uid="{00000000-0010-0000-0700-000001000000}" name="Mes / Año" dataDxfId="649"/>
    <tableColumn id="2" xr3:uid="{00000000-0010-0000-0700-000002000000}" name="Afiliados Titulares RC" dataDxfId="648" dataCellStyle="Millares 2 4"/>
    <tableColumn id="3" xr3:uid="{00000000-0010-0000-0700-000003000000}" name="Dependientes  Totales RC" dataDxfId="647" dataCellStyle="Millares 2 4"/>
    <tableColumn id="4" xr3:uid="{00000000-0010-0000-0700-000004000000}" name="Depend.  Directos  RC" dataDxfId="646" dataCellStyle="Millares 2 4"/>
    <tableColumn id="5" xr3:uid="{00000000-0010-0000-0700-000005000000}" name="Depend.  Adicionales RC" dataDxfId="645" dataCellStyle="Millares 2 4"/>
    <tableColumn id="6" xr3:uid="{00000000-0010-0000-0700-000006000000}" name="Afiliación Total SFS RC " dataDxfId="644" dataCellStyle="Millares 2 4">
      <calculatedColumnFormula>+B5+D5+E5</calculatedColumnFormula>
    </tableColumn>
    <tableColumn id="7" xr3:uid="{00000000-0010-0000-0700-000007000000}" name="%  Afiliados Titulares RC" dataDxfId="643" dataCellStyle="Millares 2 4">
      <calculatedColumnFormula>B5/F5</calculatedColumnFormula>
    </tableColumn>
    <tableColumn id="8" xr3:uid="{00000000-0010-0000-0700-000008000000}" name="%  Afiliados Dep. Totales RC" dataDxfId="642" dataCellStyle="Millares 2 4">
      <calculatedColumnFormula>C5/F5</calculatedColumnFormula>
    </tableColumn>
    <tableColumn id="9" xr3:uid="{00000000-0010-0000-0700-000009000000}" name="Indice de dependencia RC" dataDxfId="641">
      <calculatedColumnFormula>+C5/B5</calculatedColumnFormula>
    </tableColumn>
    <tableColumn id="10" xr3:uid="{00000000-0010-0000-0700-00000A000000}" name="Indice de dependencia Adicionales" dataDxfId="640"/>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a10" displayName="Tabla10" ref="A4:L22" totalsRowShown="0" headerRowDxfId="637" dataDxfId="636" headerRowBorderDxfId="634" tableBorderDxfId="635" totalsRowBorderDxfId="633">
  <tableColumns count="12">
    <tableColumn id="1" xr3:uid="{00000000-0010-0000-0800-000001000000}" name="Período" dataDxfId="632"/>
    <tableColumn id="2" xr3:uid="{00000000-0010-0000-0800-000002000000}" name="Titulares-Masc" dataDxfId="631" dataCellStyle="Millares 2 4"/>
    <tableColumn id="3" xr3:uid="{00000000-0010-0000-0800-000003000000}" name="Dep-Dir-Masc" dataDxfId="630" dataCellStyle="Millares 2 4"/>
    <tableColumn id="4" xr3:uid="{00000000-0010-0000-0800-000004000000}" name="Dep_Adic-Masc" dataDxfId="629" dataCellStyle="Millares 2 4"/>
    <tableColumn id="5" xr3:uid="{00000000-0010-0000-0800-000005000000}" name="Total de Dep-Masc" dataDxfId="628" dataCellStyle="Millares 2 4">
      <calculatedColumnFormula>+D5+C5</calculatedColumnFormula>
    </tableColumn>
    <tableColumn id="6" xr3:uid="{00000000-0010-0000-0800-000006000000}" name="Total Masculino" dataDxfId="627" dataCellStyle="Millares 2 4">
      <calculatedColumnFormula>B5+C5+D5</calculatedColumnFormula>
    </tableColumn>
    <tableColumn id="7" xr3:uid="{00000000-0010-0000-0800-000007000000}" name="Titulares-Fem" dataDxfId="626" dataCellStyle="Millares 2 4"/>
    <tableColumn id="8" xr3:uid="{00000000-0010-0000-0800-000008000000}" name="Dep-Dir-Fem" dataDxfId="625" dataCellStyle="Millares 2 4"/>
    <tableColumn id="9" xr3:uid="{00000000-0010-0000-0800-000009000000}" name="Dep_Adic-Fem" dataDxfId="624" dataCellStyle="Millares 2 4"/>
    <tableColumn id="10" xr3:uid="{00000000-0010-0000-0800-00000A000000}" name="Total Dep-Fem" dataDxfId="623" dataCellStyle="Millares 2 4">
      <calculatedColumnFormula>+I5+H5</calculatedColumnFormula>
    </tableColumn>
    <tableColumn id="11" xr3:uid="{00000000-0010-0000-0800-00000B000000}" name="Total _x000a_Femenino" dataDxfId="622" dataCellStyle="Millares 2 4">
      <calculatedColumnFormula>G5+H5+I5</calculatedColumnFormula>
    </tableColumn>
    <tableColumn id="12" xr3:uid="{00000000-0010-0000-0800-00000C000000}" name="Total Afiliados SFS RC" dataDxfId="621" dataCellStyle="Millares 2 4">
      <calculatedColumnFormula>F5+K5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8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8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9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9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9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9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9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20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7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8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9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0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1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1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1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1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2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2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2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2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3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3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13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14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4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14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4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14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14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15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15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15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5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15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5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6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6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6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6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6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6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7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7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7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8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8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8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8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6"/>
    <col min="6" max="6" width="15.140625" style="236" customWidth="1"/>
    <col min="7" max="7" width="29.85546875" style="236" customWidth="1"/>
    <col min="8" max="8" width="15.140625" style="236"/>
    <col min="9" max="9" width="22.28515625" style="236" customWidth="1"/>
    <col min="10" max="10" width="18.7109375" style="236" customWidth="1"/>
    <col min="11" max="11" width="35" style="236" customWidth="1"/>
    <col min="12" max="12" width="35.42578125" style="236" customWidth="1"/>
    <col min="13" max="16" width="15.140625" style="236"/>
    <col min="17" max="17" width="47.140625" style="236" customWidth="1"/>
    <col min="18" max="20" width="15.140625" style="236"/>
    <col min="21" max="21" width="32.7109375" style="239" bestFit="1" customWidth="1"/>
    <col min="22" max="16384" width="15.140625" style="236"/>
  </cols>
  <sheetData>
    <row r="1" spans="2:9" ht="42" customHeight="1"/>
    <row r="8" spans="2:9">
      <c r="B8" s="1963" t="s">
        <v>0</v>
      </c>
      <c r="C8" s="1964"/>
      <c r="D8" s="1964"/>
      <c r="E8" s="1964"/>
      <c r="F8" s="1964"/>
      <c r="G8" s="1964"/>
      <c r="H8" s="1964"/>
      <c r="I8" s="1964"/>
    </row>
    <row r="9" spans="2:9">
      <c r="B9" s="1964"/>
      <c r="C9" s="1964"/>
      <c r="D9" s="1964"/>
      <c r="E9" s="1964"/>
      <c r="F9" s="1964"/>
      <c r="G9" s="1964"/>
      <c r="H9" s="1964"/>
      <c r="I9" s="1964"/>
    </row>
    <row r="10" spans="2:9">
      <c r="B10" s="1964"/>
      <c r="C10" s="1964"/>
      <c r="D10" s="1964"/>
      <c r="E10" s="1964"/>
      <c r="F10" s="1964"/>
      <c r="G10" s="1964"/>
      <c r="H10" s="1964"/>
      <c r="I10" s="1964"/>
    </row>
    <row r="11" spans="2:9">
      <c r="B11" s="1964"/>
      <c r="C11" s="1964"/>
      <c r="D11" s="1964"/>
      <c r="E11" s="1964"/>
      <c r="F11" s="1964"/>
      <c r="G11" s="1964"/>
      <c r="H11" s="1964"/>
      <c r="I11" s="1964"/>
    </row>
    <row r="12" spans="2:9">
      <c r="B12" s="1964"/>
      <c r="C12" s="1964"/>
      <c r="D12" s="1964"/>
      <c r="E12" s="1964"/>
      <c r="F12" s="1964"/>
      <c r="G12" s="1964"/>
      <c r="H12" s="1964"/>
      <c r="I12" s="1964"/>
    </row>
    <row r="13" spans="2:9">
      <c r="B13" s="1964"/>
      <c r="C13" s="1964"/>
      <c r="D13" s="1964"/>
      <c r="E13" s="1964"/>
      <c r="F13" s="1964"/>
      <c r="G13" s="1964"/>
      <c r="H13" s="1964"/>
      <c r="I13" s="1964"/>
    </row>
    <row r="14" spans="2:9">
      <c r="B14" s="1964"/>
      <c r="C14" s="1964"/>
      <c r="D14" s="1964"/>
      <c r="E14" s="1964"/>
      <c r="F14" s="1964"/>
      <c r="G14" s="1964"/>
      <c r="H14" s="1964"/>
      <c r="I14" s="1964"/>
    </row>
    <row r="15" spans="2:9" ht="69.75" customHeight="1">
      <c r="B15" s="1964"/>
      <c r="C15" s="1964"/>
      <c r="D15" s="1964"/>
      <c r="E15" s="1964"/>
      <c r="F15" s="1964"/>
      <c r="G15" s="1964"/>
      <c r="H15" s="1964"/>
      <c r="I15" s="1964"/>
    </row>
    <row r="16" spans="2:9">
      <c r="B16" s="1964"/>
      <c r="C16" s="1964"/>
      <c r="D16" s="1964"/>
      <c r="E16" s="1964"/>
      <c r="F16" s="1964"/>
      <c r="G16" s="1964"/>
      <c r="H16" s="1964"/>
      <c r="I16" s="1964"/>
    </row>
    <row r="17" spans="2:19">
      <c r="B17" s="1964"/>
      <c r="C17" s="1964"/>
      <c r="D17" s="1964"/>
      <c r="E17" s="1964"/>
      <c r="F17" s="1964"/>
      <c r="G17" s="1964"/>
      <c r="H17" s="1964"/>
      <c r="I17" s="1964"/>
    </row>
    <row r="18" spans="2:19">
      <c r="B18" s="1964"/>
      <c r="C18" s="1964"/>
      <c r="D18" s="1964"/>
      <c r="E18" s="1964"/>
      <c r="F18" s="1964"/>
      <c r="G18" s="1964"/>
      <c r="H18" s="1964"/>
      <c r="I18" s="1964"/>
      <c r="N18" s="237" t="s">
        <v>1</v>
      </c>
    </row>
    <row r="19" spans="2:19">
      <c r="B19" s="1964"/>
      <c r="C19" s="1964"/>
      <c r="D19" s="1964"/>
      <c r="E19" s="1964"/>
      <c r="F19" s="1964"/>
      <c r="G19" s="1964"/>
      <c r="H19" s="1964"/>
      <c r="I19" s="1964"/>
    </row>
    <row r="20" spans="2:19">
      <c r="B20" s="1964"/>
      <c r="C20" s="1964"/>
      <c r="D20" s="1964"/>
      <c r="E20" s="1964"/>
      <c r="F20" s="1964"/>
      <c r="G20" s="1964"/>
      <c r="H20" s="1964"/>
      <c r="I20" s="1964"/>
    </row>
    <row r="21" spans="2:19">
      <c r="B21" s="1964"/>
      <c r="C21" s="1964"/>
      <c r="D21" s="1964"/>
      <c r="E21" s="1964"/>
      <c r="F21" s="1964"/>
      <c r="G21" s="1964"/>
      <c r="H21" s="1964"/>
      <c r="I21" s="1964"/>
    </row>
    <row r="22" spans="2:19">
      <c r="B22" s="1964"/>
      <c r="C22" s="1964"/>
      <c r="D22" s="1964"/>
      <c r="E22" s="1964"/>
      <c r="F22" s="1964"/>
      <c r="G22" s="1964"/>
      <c r="H22" s="1964"/>
      <c r="I22" s="1964"/>
    </row>
    <row r="23" spans="2:19">
      <c r="B23" s="1964"/>
      <c r="C23" s="1964"/>
      <c r="D23" s="1964"/>
      <c r="E23" s="1964"/>
      <c r="F23" s="1964"/>
      <c r="G23" s="1964"/>
      <c r="H23" s="1964"/>
      <c r="I23" s="1964"/>
    </row>
    <row r="24" spans="2:19">
      <c r="B24" s="1964"/>
      <c r="C24" s="1964"/>
      <c r="D24" s="1964"/>
      <c r="E24" s="1964"/>
      <c r="F24" s="1964"/>
      <c r="G24" s="1964"/>
      <c r="H24" s="1964"/>
      <c r="I24" s="1964"/>
    </row>
    <row r="25" spans="2:19">
      <c r="B25" s="1964"/>
      <c r="C25" s="1964"/>
      <c r="D25" s="1964"/>
      <c r="E25" s="1964"/>
      <c r="F25" s="1964"/>
      <c r="G25" s="1964"/>
      <c r="H25" s="1964"/>
      <c r="I25" s="1964"/>
    </row>
    <row r="26" spans="2:19">
      <c r="B26" s="1964"/>
      <c r="C26" s="1964"/>
      <c r="D26" s="1964"/>
      <c r="E26" s="1964"/>
      <c r="F26" s="1964"/>
      <c r="G26" s="1964"/>
      <c r="H26" s="1964"/>
      <c r="I26" s="1964"/>
    </row>
    <row r="28" spans="2:19">
      <c r="Q28" s="238"/>
      <c r="R28" s="237"/>
    </row>
    <row r="29" spans="2:19">
      <c r="Q29" s="238"/>
    </row>
    <row r="30" spans="2:19">
      <c r="Q30" s="238"/>
    </row>
    <row r="31" spans="2:19">
      <c r="Q31" s="238"/>
      <c r="R31" s="238"/>
      <c r="S31" s="238"/>
    </row>
    <row r="32" spans="2:19">
      <c r="Q32" s="238"/>
      <c r="R32" s="238"/>
      <c r="S32" s="238"/>
    </row>
    <row r="33" spans="15:19">
      <c r="Q33" s="238"/>
      <c r="R33" s="238"/>
      <c r="S33" s="238"/>
    </row>
    <row r="34" spans="15:19">
      <c r="Q34" s="238"/>
      <c r="R34" s="238"/>
      <c r="S34" s="238"/>
    </row>
    <row r="35" spans="15:19">
      <c r="Q35" s="238"/>
      <c r="R35" s="238"/>
      <c r="S35" s="238"/>
    </row>
    <row r="36" spans="15:19">
      <c r="Q36" s="238"/>
      <c r="R36" s="238"/>
      <c r="S36" s="238"/>
    </row>
    <row r="37" spans="15:19">
      <c r="Q37" s="238"/>
      <c r="R37" s="238"/>
      <c r="S37" s="238"/>
    </row>
    <row r="38" spans="15:19">
      <c r="Q38" s="238"/>
      <c r="R38" s="238"/>
      <c r="S38" s="238"/>
    </row>
    <row r="39" spans="15:19">
      <c r="Q39" s="238"/>
      <c r="R39" s="238"/>
      <c r="S39" s="238"/>
    </row>
    <row r="40" spans="15:19">
      <c r="Q40" s="238"/>
      <c r="R40" s="238"/>
      <c r="S40" s="238"/>
    </row>
    <row r="41" spans="15:19">
      <c r="Q41" s="238"/>
      <c r="R41" s="238"/>
      <c r="S41" s="238"/>
    </row>
    <row r="42" spans="15:19">
      <c r="O42" s="237" t="s">
        <v>1</v>
      </c>
      <c r="Q42" s="238"/>
      <c r="R42" s="238"/>
      <c r="S42" s="238"/>
    </row>
    <row r="43" spans="15:19">
      <c r="Q43" s="238" t="s">
        <v>1</v>
      </c>
      <c r="R43" s="238"/>
      <c r="S43" s="238"/>
    </row>
    <row r="44" spans="15:19">
      <c r="Q44" s="238"/>
      <c r="R44" s="238"/>
      <c r="S44" s="238"/>
    </row>
    <row r="45" spans="15:19">
      <c r="Q45" s="238"/>
      <c r="R45" s="238"/>
      <c r="S45" s="238"/>
    </row>
    <row r="46" spans="15:19">
      <c r="Q46" s="238"/>
      <c r="R46" s="238"/>
      <c r="S46" s="238"/>
    </row>
    <row r="47" spans="15:19">
      <c r="Q47" s="238"/>
      <c r="R47" s="238"/>
      <c r="S47" s="238"/>
    </row>
    <row r="48" spans="15:19">
      <c r="Q48" s="238"/>
      <c r="R48" s="238"/>
      <c r="S48" s="238"/>
    </row>
    <row r="49" spans="17:19">
      <c r="Q49" s="238"/>
      <c r="R49" s="238"/>
      <c r="S49" s="238"/>
    </row>
    <row r="50" spans="17:19">
      <c r="R50" s="238"/>
      <c r="S50" s="238"/>
    </row>
    <row r="51" spans="17:19">
      <c r="Q51" s="238"/>
      <c r="R51" s="238"/>
      <c r="S51" s="238"/>
    </row>
    <row r="52" spans="17:19">
      <c r="Q52" s="238"/>
      <c r="R52" s="238"/>
      <c r="S52" s="238"/>
    </row>
    <row r="53" spans="17:19">
      <c r="Q53" s="238"/>
      <c r="R53" s="238"/>
      <c r="S53" s="238"/>
    </row>
    <row r="54" spans="17:19">
      <c r="Q54" s="238" t="s">
        <v>1</v>
      </c>
      <c r="R54" s="238"/>
      <c r="S54" s="238"/>
    </row>
    <row r="55" spans="17:19" ht="77.25" customHeight="1">
      <c r="Q55" s="238"/>
      <c r="R55" s="238"/>
      <c r="S55" s="238"/>
    </row>
    <row r="56" spans="17:19" ht="77.25" customHeight="1">
      <c r="Q56" s="238"/>
      <c r="R56" s="238"/>
      <c r="S56" s="238"/>
    </row>
    <row r="57" spans="17:19" ht="77.25" customHeight="1">
      <c r="Q57" s="238"/>
      <c r="R57" s="238"/>
      <c r="S57" s="238"/>
    </row>
    <row r="58" spans="17:19" ht="77.25" customHeight="1">
      <c r="Q58" s="238"/>
      <c r="R58" s="238"/>
      <c r="S58" s="238"/>
    </row>
  </sheetData>
  <mergeCells count="1">
    <mergeCell ref="B8:I26"/>
  </mergeCells>
  <pageMargins left="0.70866141732283472" right="0.70866141732283472" top="0.74803149606299213" bottom="0.74803149606299213" header="0.31496062992125984" footer="0.31496062992125984"/>
  <pageSetup paperSize="119" scale="3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theme="9" tint="-0.249977111117893"/>
    <pageSetUpPr fitToPage="1"/>
  </sheetPr>
  <dimension ref="A1:R69"/>
  <sheetViews>
    <sheetView view="pageBreakPreview" topLeftCell="B1" zoomScale="115" zoomScaleNormal="115" zoomScaleSheetLayoutView="115" workbookViewId="0">
      <selection activeCell="G32" sqref="G32"/>
    </sheetView>
  </sheetViews>
  <sheetFormatPr defaultColWidth="9.140625" defaultRowHeight="15"/>
  <cols>
    <col min="1" max="1" width="6.5703125" style="270" hidden="1" customWidth="1"/>
    <col min="2" max="2" width="19.5703125" style="280" customWidth="1"/>
    <col min="3" max="3" width="25.28515625" style="274" customWidth="1"/>
    <col min="4" max="5" width="29.7109375" style="274" customWidth="1"/>
    <col min="6" max="6" width="24.7109375" style="275" customWidth="1"/>
    <col min="7" max="7" width="17.140625" style="270" customWidth="1"/>
    <col min="8" max="8" width="9.140625" style="270"/>
    <col min="9" max="9" width="11.140625" style="271" bestFit="1" customWidth="1"/>
    <col min="10" max="10" width="98.42578125" style="270" customWidth="1"/>
    <col min="11" max="13" width="9.140625" style="270"/>
    <col min="14" max="14" width="28" style="270" customWidth="1"/>
    <col min="15" max="15" width="21.7109375" style="270" customWidth="1"/>
    <col min="16" max="16384" width="9.140625" style="270"/>
  </cols>
  <sheetData>
    <row r="1" spans="1:18" ht="15.75">
      <c r="B1" s="2034" t="s">
        <v>291</v>
      </c>
      <c r="C1" s="2034"/>
      <c r="D1" s="2034"/>
      <c r="E1" s="2034"/>
      <c r="F1" s="2034"/>
      <c r="G1" s="2034"/>
      <c r="H1" s="2034"/>
    </row>
    <row r="2" spans="1:18" s="272" customFormat="1" ht="18.75">
      <c r="A2" s="2035" t="s">
        <v>292</v>
      </c>
      <c r="B2" s="2035"/>
      <c r="C2" s="2035"/>
      <c r="D2" s="2035"/>
      <c r="E2" s="2035"/>
      <c r="F2" s="2035"/>
      <c r="G2" s="2035"/>
      <c r="H2" s="2035"/>
      <c r="I2" s="273"/>
    </row>
    <row r="3" spans="1:18" s="272" customFormat="1" ht="21" customHeight="1">
      <c r="A3" s="2036" t="s">
        <v>293</v>
      </c>
      <c r="B3" s="2036"/>
      <c r="C3" s="2036"/>
      <c r="D3" s="2036"/>
      <c r="E3" s="2036"/>
      <c r="F3" s="2036"/>
      <c r="G3" s="2036"/>
      <c r="H3" s="2036"/>
      <c r="I3" s="273"/>
      <c r="N3" s="1689" t="s">
        <v>196</v>
      </c>
      <c r="O3" s="1690" t="s">
        <v>294</v>
      </c>
      <c r="R3" s="1693" t="s">
        <v>295</v>
      </c>
    </row>
    <row r="4" spans="1:18">
      <c r="B4" s="274"/>
      <c r="C4" s="270"/>
      <c r="N4" s="1691" t="s">
        <v>296</v>
      </c>
      <c r="O4" s="1692">
        <v>3000</v>
      </c>
      <c r="R4" s="1174" t="s">
        <v>297</v>
      </c>
    </row>
    <row r="5" spans="1:18" ht="16.5">
      <c r="B5" s="274"/>
      <c r="C5" s="270"/>
      <c r="J5" s="268"/>
      <c r="N5" s="1691" t="s">
        <v>298</v>
      </c>
      <c r="O5" s="1692">
        <v>5000</v>
      </c>
      <c r="R5" s="1174" t="s">
        <v>299</v>
      </c>
    </row>
    <row r="6" spans="1:18" s="278" customFormat="1">
      <c r="A6" s="276"/>
      <c r="B6" s="276" t="s">
        <v>196</v>
      </c>
      <c r="C6" s="276" t="s">
        <v>197</v>
      </c>
      <c r="D6" s="276" t="s">
        <v>198</v>
      </c>
      <c r="E6" s="276" t="s">
        <v>300</v>
      </c>
      <c r="F6" s="277" t="s">
        <v>200</v>
      </c>
      <c r="G6" s="277" t="s">
        <v>301</v>
      </c>
      <c r="H6" s="277" t="s">
        <v>266</v>
      </c>
      <c r="I6" s="279"/>
      <c r="J6" s="888"/>
      <c r="N6" s="1691" t="s">
        <v>302</v>
      </c>
      <c r="O6" s="1692">
        <v>8000</v>
      </c>
      <c r="R6" s="1694" t="s">
        <v>303</v>
      </c>
    </row>
    <row r="7" spans="1:18">
      <c r="B7" s="280" t="s">
        <v>304</v>
      </c>
      <c r="C7" s="281">
        <v>39083</v>
      </c>
      <c r="D7" s="281">
        <f>+C8</f>
        <v>39307</v>
      </c>
      <c r="E7" s="281" t="s">
        <v>305</v>
      </c>
      <c r="F7" s="282">
        <v>394.75</v>
      </c>
      <c r="G7" s="280"/>
      <c r="H7" s="280"/>
      <c r="J7" s="888"/>
      <c r="N7" s="1695" t="s">
        <v>306</v>
      </c>
      <c r="O7" s="1696">
        <v>12000</v>
      </c>
      <c r="R7" s="280" t="s">
        <v>307</v>
      </c>
    </row>
    <row r="8" spans="1:18" ht="18" customHeight="1">
      <c r="B8" s="280" t="s">
        <v>308</v>
      </c>
      <c r="C8" s="281">
        <v>39307</v>
      </c>
      <c r="D8" s="281">
        <f>+C9</f>
        <v>39434</v>
      </c>
      <c r="E8" s="281" t="s">
        <v>309</v>
      </c>
      <c r="F8" s="282">
        <v>483.33</v>
      </c>
      <c r="G8" s="282">
        <f>+Tabla1[[#This Row],[PERCAPITA]]-F7</f>
        <v>88.579999999999984</v>
      </c>
      <c r="H8" s="283">
        <f>+Tabla1[[#This Row],[Aumentos]]/F7</f>
        <v>0.22439518682710571</v>
      </c>
      <c r="J8" s="888" t="s">
        <v>310</v>
      </c>
      <c r="N8" s="1691"/>
      <c r="O8" s="1692"/>
      <c r="R8" s="280" t="s">
        <v>311</v>
      </c>
    </row>
    <row r="9" spans="1:18">
      <c r="B9" s="280" t="s">
        <v>312</v>
      </c>
      <c r="C9" s="281">
        <v>39434</v>
      </c>
      <c r="D9" s="281">
        <f>+C10</f>
        <v>40066</v>
      </c>
      <c r="E9" s="281" t="s">
        <v>313</v>
      </c>
      <c r="F9" s="282">
        <v>620</v>
      </c>
      <c r="G9" s="282">
        <f>+Tabla1[[#This Row],[PERCAPITA]]-F8</f>
        <v>136.67000000000002</v>
      </c>
      <c r="H9" s="283">
        <f>+Tabla1[[#This Row],[Aumentos]]/F8</f>
        <v>0.28276746736184394</v>
      </c>
      <c r="R9" s="280"/>
    </row>
    <row r="10" spans="1:18">
      <c r="B10" s="280" t="s">
        <v>314</v>
      </c>
      <c r="C10" s="281">
        <v>40066</v>
      </c>
      <c r="D10" s="281">
        <f>+C11</f>
        <v>40168</v>
      </c>
      <c r="E10" s="281" t="s">
        <v>315</v>
      </c>
      <c r="F10" s="282">
        <v>661.91</v>
      </c>
      <c r="G10" s="282">
        <f>+Tabla1[[#This Row],[PERCAPITA]]-F9</f>
        <v>41.909999999999968</v>
      </c>
      <c r="H10" s="283">
        <f>+Tabla1[[#This Row],[Aumentos]]/F9</f>
        <v>6.7596774193548342E-2</v>
      </c>
      <c r="R10" s="1174" t="s">
        <v>316</v>
      </c>
    </row>
    <row r="11" spans="1:18">
      <c r="B11" s="280" t="s">
        <v>317</v>
      </c>
      <c r="C11" s="281">
        <v>40168</v>
      </c>
      <c r="D11" s="281">
        <f>+C12</f>
        <v>40848</v>
      </c>
      <c r="E11" s="281" t="s">
        <v>318</v>
      </c>
      <c r="F11" s="282">
        <v>721.48</v>
      </c>
      <c r="G11" s="282">
        <f>+Tabla1[[#This Row],[PERCAPITA]]-F10</f>
        <v>59.57000000000005</v>
      </c>
      <c r="H11" s="283">
        <f>+Tabla1[[#This Row],[Aumentos]]/F10</f>
        <v>8.9997129519118993E-2</v>
      </c>
      <c r="N11" s="1689" t="s">
        <v>196</v>
      </c>
      <c r="O11" s="1690" t="s">
        <v>319</v>
      </c>
      <c r="R11" s="1174" t="s">
        <v>320</v>
      </c>
    </row>
    <row r="12" spans="1:18">
      <c r="B12" s="280" t="s">
        <v>321</v>
      </c>
      <c r="C12" s="281">
        <v>40848</v>
      </c>
      <c r="D12" s="281">
        <v>41486</v>
      </c>
      <c r="E12" s="281" t="s">
        <v>322</v>
      </c>
      <c r="F12" s="282">
        <v>788.58</v>
      </c>
      <c r="G12" s="282">
        <f>+Tabla1[[#This Row],[PERCAPITA]]-F11</f>
        <v>67.100000000000023</v>
      </c>
      <c r="H12" s="283">
        <f>+Tabla1[[#This Row],[Aumentos]]/F11</f>
        <v>9.3003271053944694E-2</v>
      </c>
      <c r="N12" s="1691" t="s">
        <v>323</v>
      </c>
      <c r="O12" s="1692">
        <v>1000</v>
      </c>
      <c r="R12" s="1174" t="s">
        <v>324</v>
      </c>
    </row>
    <row r="13" spans="1:18">
      <c r="B13" s="280" t="s">
        <v>325</v>
      </c>
      <c r="C13" s="281">
        <v>41487</v>
      </c>
      <c r="D13" s="281">
        <v>42277</v>
      </c>
      <c r="E13" s="281" t="s">
        <v>326</v>
      </c>
      <c r="F13" s="282">
        <v>835.89</v>
      </c>
      <c r="G13" s="282">
        <f>+Tabla1[[#This Row],[PERCAPITA]]-F12</f>
        <v>47.309999999999945</v>
      </c>
      <c r="H13" s="283">
        <f>+Tabla1[[#This Row],[Aumentos]]/F12</f>
        <v>5.9993913109640043E-2</v>
      </c>
      <c r="N13" s="1691" t="s">
        <v>327</v>
      </c>
      <c r="O13" s="1692">
        <v>3000</v>
      </c>
    </row>
    <row r="14" spans="1:18">
      <c r="B14" s="280" t="s">
        <v>328</v>
      </c>
      <c r="C14" s="281">
        <v>42278</v>
      </c>
      <c r="D14" s="281">
        <v>43039</v>
      </c>
      <c r="E14" s="281" t="s">
        <v>329</v>
      </c>
      <c r="F14" s="282">
        <v>914.76</v>
      </c>
      <c r="G14" s="282">
        <f>+Tabla1[[#This Row],[PERCAPITA]]-F13</f>
        <v>78.87</v>
      </c>
      <c r="H14" s="283">
        <f>+Tabla1[[#This Row],[Aumentos]]/F13</f>
        <v>9.4354520331622588E-2</v>
      </c>
      <c r="N14" s="1691" t="s">
        <v>330</v>
      </c>
      <c r="O14" s="1692">
        <v>5000</v>
      </c>
    </row>
    <row r="15" spans="1:18">
      <c r="B15" s="280" t="s">
        <v>331</v>
      </c>
      <c r="C15" s="281">
        <v>43040</v>
      </c>
      <c r="D15" s="281">
        <v>43769</v>
      </c>
      <c r="E15" s="281" t="s">
        <v>332</v>
      </c>
      <c r="F15" s="282">
        <v>1013.62</v>
      </c>
      <c r="G15" s="282">
        <f>+Tabla1[[#This Row],[PERCAPITA]]-F14</f>
        <v>98.860000000000014</v>
      </c>
      <c r="H15" s="283">
        <f>+Tabla1[[#This Row],[Aumentos]]/F14</f>
        <v>0.10807206261751717</v>
      </c>
    </row>
    <row r="16" spans="1:18">
      <c r="B16" s="280" t="s">
        <v>333</v>
      </c>
      <c r="C16" s="281">
        <v>43770</v>
      </c>
      <c r="D16" s="281">
        <v>44470</v>
      </c>
      <c r="E16" s="281" t="s">
        <v>334</v>
      </c>
      <c r="F16" s="282">
        <v>1167.81</v>
      </c>
      <c r="G16" s="282">
        <f>+Tabla1[[#This Row],[PERCAPITA]]-F15</f>
        <v>154.18999999999994</v>
      </c>
      <c r="H16" s="283">
        <f>+Tabla1[[#This Row],[Aumentos]]/F15</f>
        <v>0.15211815078629065</v>
      </c>
    </row>
    <row r="17" spans="2:8">
      <c r="B17" s="280" t="s">
        <v>335</v>
      </c>
      <c r="C17" s="281">
        <v>44470</v>
      </c>
      <c r="D17" s="281">
        <v>44826</v>
      </c>
      <c r="E17" s="281" t="s">
        <v>336</v>
      </c>
      <c r="F17" s="282">
        <v>1327.81</v>
      </c>
      <c r="G17" s="282">
        <f>+Tabla1[[#This Row],[PERCAPITA]]-F16</f>
        <v>160</v>
      </c>
      <c r="H17" s="283">
        <f>+Tabla1[[#This Row],[Aumentos]]/F16</f>
        <v>0.13700858872590577</v>
      </c>
    </row>
    <row r="18" spans="2:8">
      <c r="B18" s="280" t="s">
        <v>337</v>
      </c>
      <c r="C18" s="281">
        <f>+D17</f>
        <v>44826</v>
      </c>
      <c r="D18" s="281" t="s">
        <v>338</v>
      </c>
      <c r="E18" s="281" t="s">
        <v>339</v>
      </c>
      <c r="F18" s="282">
        <v>1490.14</v>
      </c>
      <c r="G18" s="282">
        <f>+Tabla1[[#This Row],[PERCAPITA]]-F17</f>
        <v>162.33000000000015</v>
      </c>
      <c r="H18" s="283">
        <f>+Tabla1[[#This Row],[Aumentos]]/F17</f>
        <v>0.12225393693374817</v>
      </c>
    </row>
    <row r="19" spans="2:8">
      <c r="B19" s="280" t="s">
        <v>340</v>
      </c>
      <c r="C19" s="281" t="s">
        <v>338</v>
      </c>
      <c r="D19" s="281">
        <v>45273</v>
      </c>
      <c r="E19" s="281" t="str">
        <f>+Tabla1[[#This Row],[FECHA_INICIO ]]</f>
        <v xml:space="preserve">26 de Enero del 2023 </v>
      </c>
      <c r="F19" s="282">
        <v>1577.45</v>
      </c>
      <c r="G19" s="282">
        <f>+Tabla1[[#This Row],[PERCAPITA]]-F18</f>
        <v>87.309999999999945</v>
      </c>
      <c r="H19" s="283">
        <f>+Tabla1[[#This Row],[Aumentos]]/F18</f>
        <v>5.8591810165487763E-2</v>
      </c>
    </row>
    <row r="20" spans="2:8">
      <c r="B20" s="1174" t="s">
        <v>341</v>
      </c>
      <c r="C20" s="1174" t="s">
        <v>342</v>
      </c>
      <c r="D20" s="1175"/>
      <c r="E20" s="281" t="str">
        <f>+Tabla1[[#This Row],[FECHA_INICIO ]]</f>
        <v>14 de diciembre 2023</v>
      </c>
      <c r="F20" s="282">
        <v>1683.22</v>
      </c>
      <c r="G20" s="282">
        <f>+Tabla1[[#This Row],[PERCAPITA]]-F19</f>
        <v>105.76999999999998</v>
      </c>
      <c r="H20" s="283">
        <f>+Tabla1[[#This Row],[Aumentos]]/F19</f>
        <v>6.7051253605502542E-2</v>
      </c>
    </row>
    <row r="24" spans="2:8" ht="18">
      <c r="B24" s="2039" t="s">
        <v>343</v>
      </c>
      <c r="C24" s="2039"/>
      <c r="D24" s="2039"/>
      <c r="E24" s="2039"/>
      <c r="F24" s="2039"/>
      <c r="G24" s="2039"/>
      <c r="H24" s="2039"/>
    </row>
    <row r="25" spans="2:8" ht="18.75" customHeight="1">
      <c r="B25" s="2039" t="s">
        <v>292</v>
      </c>
      <c r="C25" s="2039"/>
      <c r="D25" s="2039"/>
      <c r="E25" s="2039"/>
      <c r="F25" s="2039"/>
      <c r="G25" s="2039"/>
      <c r="H25" s="2039"/>
    </row>
    <row r="26" spans="2:8" ht="18.75" customHeight="1">
      <c r="B26" s="2039" t="s">
        <v>344</v>
      </c>
      <c r="C26" s="2039"/>
      <c r="D26" s="2039"/>
      <c r="E26" s="2039"/>
      <c r="F26" s="2039"/>
      <c r="G26" s="2039"/>
      <c r="H26" s="2039"/>
    </row>
    <row r="27" spans="2:8" ht="18.75" customHeight="1">
      <c r="B27" s="2039" t="s">
        <v>345</v>
      </c>
      <c r="C27" s="2039"/>
      <c r="D27" s="2039"/>
      <c r="E27" s="2039"/>
      <c r="F27" s="2039"/>
      <c r="G27" s="2039"/>
      <c r="H27" s="2039"/>
    </row>
    <row r="28" spans="2:8">
      <c r="B28" s="270"/>
      <c r="D28" s="270"/>
      <c r="E28" s="270"/>
      <c r="F28" s="274"/>
      <c r="G28" s="275"/>
    </row>
    <row r="29" spans="2:8">
      <c r="B29" s="270"/>
      <c r="D29" s="270"/>
      <c r="E29" s="270"/>
      <c r="F29" s="274"/>
      <c r="G29" s="275"/>
    </row>
    <row r="30" spans="2:8">
      <c r="B30" s="286"/>
      <c r="C30" s="287" t="s">
        <v>196</v>
      </c>
      <c r="D30" s="286" t="s">
        <v>197</v>
      </c>
      <c r="E30" s="286"/>
      <c r="F30" s="286" t="s">
        <v>198</v>
      </c>
      <c r="G30" s="288" t="s">
        <v>200</v>
      </c>
    </row>
    <row r="31" spans="2:8">
      <c r="B31" s="270"/>
      <c r="C31" s="280" t="s">
        <v>346</v>
      </c>
      <c r="D31" s="289">
        <v>40909</v>
      </c>
      <c r="E31" s="289"/>
      <c r="F31" s="289">
        <v>41486</v>
      </c>
      <c r="G31" s="275">
        <v>6</v>
      </c>
    </row>
    <row r="32" spans="2:8">
      <c r="B32" s="270"/>
      <c r="C32" s="280" t="s">
        <v>325</v>
      </c>
      <c r="D32" s="289">
        <v>41487</v>
      </c>
      <c r="E32" s="289"/>
      <c r="F32" s="289">
        <v>42004</v>
      </c>
      <c r="G32" s="275">
        <v>7.5</v>
      </c>
    </row>
    <row r="33" spans="2:10">
      <c r="B33" s="270"/>
      <c r="C33" s="280" t="s">
        <v>347</v>
      </c>
      <c r="D33" s="289">
        <v>42005</v>
      </c>
      <c r="E33" s="289"/>
      <c r="F33" s="289">
        <v>42582</v>
      </c>
      <c r="G33" s="275">
        <v>9</v>
      </c>
    </row>
    <row r="34" spans="2:10">
      <c r="B34" s="270"/>
      <c r="C34" s="280" t="s">
        <v>348</v>
      </c>
      <c r="D34" s="289">
        <v>42583</v>
      </c>
      <c r="E34" s="289"/>
      <c r="F34" s="289">
        <v>42766</v>
      </c>
      <c r="G34" s="275">
        <v>16</v>
      </c>
    </row>
    <row r="35" spans="2:10">
      <c r="B35" s="270"/>
      <c r="C35" s="280" t="s">
        <v>349</v>
      </c>
      <c r="D35" s="289">
        <v>42767</v>
      </c>
      <c r="E35" s="289"/>
      <c r="F35" s="289">
        <v>43373</v>
      </c>
      <c r="G35" s="275">
        <v>18</v>
      </c>
    </row>
    <row r="36" spans="2:10">
      <c r="B36" s="270"/>
      <c r="C36" s="280" t="s">
        <v>350</v>
      </c>
      <c r="D36" s="289">
        <v>43374</v>
      </c>
      <c r="E36" s="289"/>
      <c r="F36" s="289" t="s">
        <v>212</v>
      </c>
      <c r="G36" s="275">
        <v>22.31</v>
      </c>
    </row>
    <row r="37" spans="2:10">
      <c r="G37" s="270">
        <v>22.31</v>
      </c>
    </row>
    <row r="42" spans="2:10" ht="28.5">
      <c r="B42" s="2037" t="s">
        <v>343</v>
      </c>
      <c r="C42" s="2037"/>
      <c r="D42" s="2037"/>
      <c r="E42" s="2037"/>
      <c r="F42" s="2037"/>
      <c r="G42" s="2037"/>
      <c r="H42" s="2037"/>
    </row>
    <row r="43" spans="2:10" ht="29.25" customHeight="1">
      <c r="B43" s="2038" t="s">
        <v>351</v>
      </c>
      <c r="C43" s="2038"/>
      <c r="D43" s="2038"/>
      <c r="E43" s="2038"/>
      <c r="F43" s="2038"/>
      <c r="G43" s="2038"/>
      <c r="H43" s="2038"/>
    </row>
    <row r="44" spans="2:10" ht="18.75">
      <c r="B44" s="285" t="s">
        <v>352</v>
      </c>
      <c r="C44" s="291"/>
      <c r="D44" s="292"/>
      <c r="E44" s="293"/>
      <c r="F44" s="290"/>
    </row>
    <row r="45" spans="2:10" ht="18.75">
      <c r="B45" s="285" t="s">
        <v>345</v>
      </c>
      <c r="C45" s="291"/>
      <c r="D45" s="292"/>
      <c r="E45" s="293"/>
      <c r="F45" s="290"/>
    </row>
    <row r="46" spans="2:10">
      <c r="B46" s="294"/>
      <c r="C46" s="295" t="s">
        <v>196</v>
      </c>
      <c r="D46" s="296" t="s">
        <v>197</v>
      </c>
      <c r="E46" s="296" t="s">
        <v>198</v>
      </c>
      <c r="F46" s="296"/>
      <c r="G46" s="297" t="s">
        <v>200</v>
      </c>
    </row>
    <row r="47" spans="2:10">
      <c r="B47" s="292"/>
      <c r="C47" s="298" t="s">
        <v>201</v>
      </c>
      <c r="D47" s="729">
        <v>40909</v>
      </c>
      <c r="E47" s="729">
        <v>41639</v>
      </c>
      <c r="F47" s="299" t="s">
        <v>353</v>
      </c>
      <c r="G47" s="300">
        <v>181.34</v>
      </c>
      <c r="I47" s="270"/>
      <c r="J47" s="271"/>
    </row>
    <row r="48" spans="2:10">
      <c r="B48" s="292"/>
      <c r="C48" s="298" t="s">
        <v>203</v>
      </c>
      <c r="D48" s="299">
        <v>41640</v>
      </c>
      <c r="E48" s="299">
        <v>42735</v>
      </c>
      <c r="F48" s="299"/>
      <c r="G48" s="300">
        <v>201.34</v>
      </c>
      <c r="I48" s="270"/>
      <c r="J48" s="271"/>
    </row>
    <row r="49" spans="2:10">
      <c r="B49" s="292"/>
      <c r="C49" s="298" t="s">
        <v>205</v>
      </c>
      <c r="D49" s="299">
        <v>42736</v>
      </c>
      <c r="E49" s="299">
        <v>43131</v>
      </c>
      <c r="F49" s="299"/>
      <c r="G49" s="300">
        <v>216.38</v>
      </c>
      <c r="I49" s="270"/>
      <c r="J49" s="271"/>
    </row>
    <row r="50" spans="2:10">
      <c r="B50" s="292"/>
      <c r="C50" s="298" t="s">
        <v>207</v>
      </c>
      <c r="D50" s="299">
        <v>43132</v>
      </c>
      <c r="E50" s="299">
        <v>43921</v>
      </c>
      <c r="F50" s="299"/>
      <c r="G50" s="300">
        <v>220.38</v>
      </c>
      <c r="I50" s="270"/>
      <c r="J50" s="271"/>
    </row>
    <row r="51" spans="2:10">
      <c r="B51" s="301" t="s">
        <v>354</v>
      </c>
      <c r="C51" s="298" t="s">
        <v>209</v>
      </c>
      <c r="D51" s="299">
        <v>43922</v>
      </c>
      <c r="E51" s="299">
        <v>44561</v>
      </c>
      <c r="F51" s="299"/>
      <c r="G51" s="300">
        <v>237.38</v>
      </c>
      <c r="I51" s="270"/>
      <c r="J51" s="271"/>
    </row>
    <row r="52" spans="2:10">
      <c r="B52" s="292"/>
      <c r="C52" s="298" t="s">
        <v>211</v>
      </c>
      <c r="D52" s="299">
        <v>44562</v>
      </c>
      <c r="E52" s="299" t="s">
        <v>212</v>
      </c>
      <c r="F52" s="299"/>
      <c r="G52" s="300">
        <v>259.43</v>
      </c>
      <c r="I52" s="270"/>
      <c r="J52" s="271"/>
    </row>
    <row r="53" spans="2:10">
      <c r="B53" s="292"/>
      <c r="C53" s="302"/>
      <c r="D53" s="1176"/>
      <c r="E53" s="1176"/>
      <c r="F53" s="1176"/>
      <c r="G53" s="303"/>
      <c r="I53" s="270"/>
      <c r="J53" s="271"/>
    </row>
    <row r="54" spans="2:10" ht="15.75">
      <c r="B54" s="285" t="s">
        <v>344</v>
      </c>
      <c r="C54" s="302" t="s">
        <v>355</v>
      </c>
      <c r="D54" s="291"/>
      <c r="E54" s="291"/>
      <c r="F54" s="291"/>
      <c r="G54" s="303"/>
      <c r="I54" s="270"/>
      <c r="J54" s="271"/>
    </row>
    <row r="55" spans="2:10" ht="18.75">
      <c r="B55" s="285" t="s">
        <v>345</v>
      </c>
      <c r="C55" s="291"/>
      <c r="D55" s="292"/>
      <c r="E55" s="293"/>
      <c r="F55" s="293"/>
      <c r="G55" s="290"/>
      <c r="I55" s="270"/>
      <c r="J55" s="271"/>
    </row>
    <row r="56" spans="2:10">
      <c r="B56" s="294"/>
      <c r="C56" s="295" t="s">
        <v>196</v>
      </c>
      <c r="D56" s="296" t="s">
        <v>197</v>
      </c>
      <c r="E56" s="296" t="s">
        <v>198</v>
      </c>
      <c r="F56" s="296"/>
      <c r="G56" s="297" t="s">
        <v>200</v>
      </c>
      <c r="I56" s="270"/>
      <c r="J56" s="271"/>
    </row>
    <row r="57" spans="2:10">
      <c r="B57" s="292"/>
      <c r="C57" s="298" t="s">
        <v>356</v>
      </c>
      <c r="D57" s="299">
        <v>41609</v>
      </c>
      <c r="E57" s="299">
        <v>42735</v>
      </c>
      <c r="F57" s="299"/>
      <c r="G57" s="300">
        <v>4</v>
      </c>
      <c r="I57" s="270"/>
      <c r="J57" s="271"/>
    </row>
    <row r="58" spans="2:10">
      <c r="B58" s="292"/>
      <c r="C58" s="298" t="s">
        <v>357</v>
      </c>
      <c r="D58" s="299">
        <v>42736</v>
      </c>
      <c r="E58" s="299" t="s">
        <v>212</v>
      </c>
      <c r="F58" s="299"/>
      <c r="G58" s="300">
        <v>6</v>
      </c>
      <c r="I58" s="270"/>
      <c r="J58" s="271"/>
    </row>
    <row r="59" spans="2:10">
      <c r="B59" s="292"/>
      <c r="C59" s="302"/>
      <c r="D59" s="291"/>
      <c r="E59" s="291"/>
      <c r="F59" s="303"/>
      <c r="I59" s="270"/>
      <c r="J59" s="271"/>
    </row>
    <row r="60" spans="2:10" ht="22.5">
      <c r="B60" s="284" t="s">
        <v>343</v>
      </c>
      <c r="C60" s="302"/>
      <c r="D60" s="291"/>
      <c r="E60" s="291"/>
      <c r="F60" s="303"/>
    </row>
    <row r="61" spans="2:10" ht="18.75">
      <c r="B61" s="285" t="s">
        <v>351</v>
      </c>
      <c r="C61" s="291"/>
      <c r="D61" s="292"/>
      <c r="E61" s="293"/>
      <c r="F61" s="290"/>
    </row>
    <row r="62" spans="2:10" ht="18.75">
      <c r="B62" s="285" t="s">
        <v>344</v>
      </c>
      <c r="C62" s="291"/>
      <c r="D62" s="292"/>
      <c r="E62" s="293"/>
      <c r="F62" s="290"/>
    </row>
    <row r="63" spans="2:10" ht="18.75">
      <c r="B63" s="285" t="s">
        <v>345</v>
      </c>
      <c r="C63" s="291"/>
      <c r="D63" s="292"/>
      <c r="E63" s="293"/>
      <c r="F63" s="290"/>
    </row>
    <row r="64" spans="2:10">
      <c r="B64" s="292"/>
      <c r="C64" s="291"/>
      <c r="D64" s="292"/>
      <c r="E64" s="291"/>
      <c r="F64" s="303"/>
    </row>
    <row r="65" spans="2:6">
      <c r="B65" s="292"/>
      <c r="C65" s="291"/>
      <c r="D65" s="292"/>
      <c r="E65" s="291"/>
      <c r="F65" s="303"/>
    </row>
    <row r="66" spans="2:6">
      <c r="B66" s="294"/>
      <c r="C66" s="304" t="s">
        <v>196</v>
      </c>
      <c r="D66" s="294" t="s">
        <v>197</v>
      </c>
      <c r="E66" s="294" t="s">
        <v>198</v>
      </c>
      <c r="F66" s="305" t="s">
        <v>200</v>
      </c>
    </row>
    <row r="67" spans="2:6">
      <c r="B67" s="292"/>
      <c r="C67" s="302" t="s">
        <v>356</v>
      </c>
      <c r="D67" s="306">
        <v>41609</v>
      </c>
      <c r="E67" s="306">
        <v>42735</v>
      </c>
      <c r="F67" s="303">
        <v>4</v>
      </c>
    </row>
    <row r="68" spans="2:6">
      <c r="B68" s="292"/>
      <c r="C68" s="302" t="s">
        <v>357</v>
      </c>
      <c r="D68" s="306">
        <v>42736</v>
      </c>
      <c r="E68" s="306" t="s">
        <v>212</v>
      </c>
      <c r="F68" s="303">
        <v>6</v>
      </c>
    </row>
    <row r="69" spans="2:6">
      <c r="B69" s="292"/>
      <c r="C69" s="302"/>
      <c r="D69" s="291"/>
      <c r="E69" s="291"/>
      <c r="F69" s="303"/>
    </row>
  </sheetData>
  <mergeCells count="9">
    <mergeCell ref="B1:H1"/>
    <mergeCell ref="A2:H2"/>
    <mergeCell ref="A3:H3"/>
    <mergeCell ref="B42:H42"/>
    <mergeCell ref="B43:H43"/>
    <mergeCell ref="B27:H27"/>
    <mergeCell ref="B26:H26"/>
    <mergeCell ref="B25:H25"/>
    <mergeCell ref="B24:H24"/>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18">
    <tabColor rgb="FF66FF33"/>
    <pageSetUpPr fitToPage="1"/>
  </sheetPr>
  <dimension ref="A1:AB52"/>
  <sheetViews>
    <sheetView showGridLines="0" view="pageBreakPreview" zoomScale="70" zoomScaleNormal="100" zoomScaleSheetLayoutView="70" workbookViewId="0">
      <selection activeCell="B22" sqref="B22"/>
    </sheetView>
  </sheetViews>
  <sheetFormatPr defaultColWidth="11.42578125" defaultRowHeight="18"/>
  <cols>
    <col min="1" max="1" width="19.42578125" style="307" customWidth="1"/>
    <col min="2" max="2" width="13.85546875" style="307" bestFit="1" customWidth="1"/>
    <col min="3" max="3" width="12.85546875" style="307" bestFit="1" customWidth="1"/>
    <col min="4" max="4" width="13.7109375" style="307" bestFit="1" customWidth="1"/>
    <col min="5" max="5" width="14.42578125" style="307" bestFit="1" customWidth="1"/>
    <col min="6" max="6" width="14.7109375" style="307" bestFit="1" customWidth="1"/>
    <col min="7" max="7" width="13.85546875" style="307" bestFit="1" customWidth="1"/>
    <col min="8" max="8" width="14.7109375" style="307" bestFit="1" customWidth="1"/>
    <col min="9" max="9" width="15.42578125" style="307" bestFit="1" customWidth="1"/>
    <col min="10" max="10" width="18.5703125" style="329" bestFit="1" customWidth="1"/>
    <col min="11" max="11" width="16.5703125" style="307" bestFit="1" customWidth="1"/>
    <col min="12" max="12" width="12.85546875" style="307" customWidth="1"/>
    <col min="13" max="13" width="13.42578125" style="307" customWidth="1"/>
    <col min="14" max="14" width="14.140625" style="307" customWidth="1"/>
    <col min="15" max="15" width="14.28515625" style="307" customWidth="1"/>
    <col min="16" max="16" width="13.7109375" style="307" customWidth="1"/>
    <col min="17" max="17" width="14.28515625" style="307" customWidth="1"/>
    <col min="18" max="18" width="14.85546875" style="307" customWidth="1"/>
    <col min="19" max="19" width="6.7109375" style="307" customWidth="1"/>
    <col min="20" max="21" width="11.42578125" style="307"/>
    <col min="22" max="22" width="17.5703125" style="307" customWidth="1"/>
    <col min="23" max="23" width="17.140625" style="307" hidden="1" customWidth="1"/>
    <col min="24" max="25" width="0" style="307" hidden="1" customWidth="1"/>
    <col min="26" max="16384" width="11.42578125" style="307"/>
  </cols>
  <sheetData>
    <row r="1" spans="1:28" s="541" customFormat="1" ht="81.75" customHeight="1">
      <c r="A1" s="2364" t="s">
        <v>1165</v>
      </c>
      <c r="B1" s="2364"/>
      <c r="C1" s="2364"/>
      <c r="D1" s="2364"/>
      <c r="E1" s="2364"/>
      <c r="F1" s="2364"/>
      <c r="G1" s="2364"/>
      <c r="H1" s="2364"/>
      <c r="I1" s="2364"/>
      <c r="J1" s="2364"/>
      <c r="K1" s="2364"/>
      <c r="L1" s="2364"/>
      <c r="M1" s="2364"/>
      <c r="N1" s="2364"/>
      <c r="O1" s="2364"/>
      <c r="P1" s="2364"/>
      <c r="Q1" s="2364"/>
      <c r="R1" s="2364"/>
    </row>
    <row r="2" spans="1:28" ht="22.5" customHeight="1">
      <c r="A2" s="2364" t="str">
        <f>+'Resumen '!O2</f>
        <v>Período:  Diciembre 2007 - Abril 2025</v>
      </c>
      <c r="B2" s="2364"/>
      <c r="C2" s="2364"/>
      <c r="D2" s="2364"/>
      <c r="E2" s="2364"/>
      <c r="F2" s="2364"/>
      <c r="G2" s="2364"/>
      <c r="H2" s="2364"/>
      <c r="I2" s="2364"/>
      <c r="J2" s="2364"/>
      <c r="K2" s="2364"/>
      <c r="L2" s="2364"/>
      <c r="M2" s="2364"/>
      <c r="N2" s="2364"/>
      <c r="O2" s="2364"/>
      <c r="P2" s="2364"/>
      <c r="Q2" s="2364"/>
      <c r="R2" s="2364"/>
    </row>
    <row r="3" spans="1:28" ht="21.75" customHeight="1">
      <c r="A3" s="2365"/>
      <c r="B3" s="2365"/>
      <c r="C3" s="2365"/>
      <c r="D3" s="2365"/>
      <c r="E3" s="2365"/>
      <c r="F3" s="2365"/>
      <c r="G3" s="2365"/>
      <c r="H3" s="2365"/>
      <c r="I3" s="2365"/>
      <c r="J3" s="2365"/>
      <c r="K3" s="2365"/>
      <c r="L3" s="2365"/>
      <c r="M3" s="2365"/>
      <c r="N3" s="2365"/>
      <c r="O3" s="2365"/>
      <c r="P3" s="2365"/>
      <c r="Q3" s="2365"/>
      <c r="R3" s="2365"/>
    </row>
    <row r="4" spans="1:28" s="529" customFormat="1" ht="32.25" thickBot="1">
      <c r="A4" s="572" t="s">
        <v>1166</v>
      </c>
      <c r="B4" s="573" t="s">
        <v>1167</v>
      </c>
      <c r="C4" s="573" t="s">
        <v>1168</v>
      </c>
      <c r="D4" s="573" t="s">
        <v>1169</v>
      </c>
      <c r="E4" s="573" t="s">
        <v>1170</v>
      </c>
      <c r="F4" s="573" t="s">
        <v>1171</v>
      </c>
      <c r="G4" s="573" t="s">
        <v>1172</v>
      </c>
      <c r="H4" s="573" t="s">
        <v>1173</v>
      </c>
      <c r="I4" s="573" t="s">
        <v>1174</v>
      </c>
      <c r="J4" s="1153" t="s">
        <v>1175</v>
      </c>
      <c r="K4" s="573" t="s">
        <v>1176</v>
      </c>
      <c r="L4" s="573" t="s">
        <v>1177</v>
      </c>
      <c r="M4" s="573" t="s">
        <v>1178</v>
      </c>
      <c r="N4" s="573" t="s">
        <v>1179</v>
      </c>
      <c r="O4" s="573" t="s">
        <v>1180</v>
      </c>
      <c r="P4" s="573" t="s">
        <v>1181</v>
      </c>
      <c r="Q4" s="573" t="s">
        <v>1182</v>
      </c>
      <c r="R4" s="573" t="s">
        <v>1183</v>
      </c>
      <c r="S4" s="307"/>
      <c r="V4" s="1902" t="s">
        <v>1184</v>
      </c>
      <c r="W4" s="1903" t="s">
        <v>1185</v>
      </c>
      <c r="X4" s="1903" t="s">
        <v>1186</v>
      </c>
      <c r="Y4" s="1903" t="s">
        <v>1187</v>
      </c>
      <c r="Z4" s="1903"/>
      <c r="AA4" s="1903" t="s">
        <v>1188</v>
      </c>
      <c r="AB4" s="1910"/>
    </row>
    <row r="5" spans="1:28" ht="18.75" thickBot="1">
      <c r="A5" s="644">
        <v>2007</v>
      </c>
      <c r="B5" s="645">
        <v>5248</v>
      </c>
      <c r="C5" s="645">
        <v>259</v>
      </c>
      <c r="D5" s="645">
        <v>1131</v>
      </c>
      <c r="E5" s="645">
        <v>112</v>
      </c>
      <c r="F5" s="645">
        <v>54</v>
      </c>
      <c r="G5" s="645">
        <v>1402</v>
      </c>
      <c r="H5" s="645">
        <v>67</v>
      </c>
      <c r="I5" s="645">
        <v>271</v>
      </c>
      <c r="J5" s="1154">
        <f t="shared" ref="J5:J19" si="0">SUM(B5:I5)</f>
        <v>8544</v>
      </c>
      <c r="K5" s="1071">
        <f t="shared" ref="K5:K19" si="1">B5/J5</f>
        <v>0.61423220973782766</v>
      </c>
      <c r="L5" s="1071">
        <f t="shared" ref="L5:L19" si="2">C5/J5</f>
        <v>3.031367041198502E-2</v>
      </c>
      <c r="M5" s="1071">
        <f t="shared" ref="M5:M19" si="3">D5/J5</f>
        <v>0.13237359550561797</v>
      </c>
      <c r="N5" s="1071">
        <f t="shared" ref="N5:N19" si="4">E5/J5</f>
        <v>1.3108614232209739E-2</v>
      </c>
      <c r="O5" s="1071">
        <f t="shared" ref="O5:O19" si="5">F5/J5</f>
        <v>6.3202247191011234E-3</v>
      </c>
      <c r="P5" s="1071">
        <f t="shared" ref="P5:P19" si="6">G5/J5</f>
        <v>0.16409176029962547</v>
      </c>
      <c r="Q5" s="1071">
        <f t="shared" ref="Q5:Q19" si="7">H5/J5</f>
        <v>7.8417602996254682E-3</v>
      </c>
      <c r="R5" s="1071">
        <f t="shared" ref="R5:R19" si="8">I5/J5</f>
        <v>3.1718164794007492E-2</v>
      </c>
      <c r="V5" s="1904" t="s">
        <v>1167</v>
      </c>
      <c r="W5" s="1273">
        <v>1827</v>
      </c>
      <c r="X5" s="1273">
        <v>1860</v>
      </c>
      <c r="Y5" s="1273">
        <v>2097</v>
      </c>
      <c r="Z5" s="1910">
        <f t="shared" ref="Z5:Z12" si="9">SUM(W5:Y5)</f>
        <v>5784</v>
      </c>
      <c r="AA5" s="1273">
        <v>1904</v>
      </c>
      <c r="AB5" s="1910">
        <f t="shared" ref="AB5:AB12" si="10">SUM(Z5:AA5)</f>
        <v>7688</v>
      </c>
    </row>
    <row r="6" spans="1:28" ht="17.25" customHeight="1" thickBot="1">
      <c r="A6" s="646">
        <v>2008</v>
      </c>
      <c r="B6" s="645">
        <v>5249</v>
      </c>
      <c r="C6" s="645">
        <v>457</v>
      </c>
      <c r="D6" s="645">
        <v>2480</v>
      </c>
      <c r="E6" s="645">
        <v>167</v>
      </c>
      <c r="F6" s="645">
        <v>61</v>
      </c>
      <c r="G6" s="645">
        <v>2135</v>
      </c>
      <c r="H6" s="645">
        <v>47</v>
      </c>
      <c r="I6" s="645">
        <v>381</v>
      </c>
      <c r="J6" s="1154">
        <f t="shared" si="0"/>
        <v>10977</v>
      </c>
      <c r="K6" s="1071">
        <f t="shared" si="1"/>
        <v>0.47818165254623302</v>
      </c>
      <c r="L6" s="1071">
        <f t="shared" si="2"/>
        <v>4.1632504327229661E-2</v>
      </c>
      <c r="M6" s="1071">
        <f t="shared" si="3"/>
        <v>0.22592693814339074</v>
      </c>
      <c r="N6" s="1071">
        <f t="shared" si="4"/>
        <v>1.5213628495946069E-2</v>
      </c>
      <c r="O6" s="1071">
        <f t="shared" si="5"/>
        <v>5.5570738817527559E-3</v>
      </c>
      <c r="P6" s="1071">
        <f t="shared" si="6"/>
        <v>0.19449758586134644</v>
      </c>
      <c r="Q6" s="1071">
        <f t="shared" si="7"/>
        <v>4.2816798761045822E-3</v>
      </c>
      <c r="R6" s="1071">
        <f t="shared" si="8"/>
        <v>3.4708936867996719E-2</v>
      </c>
      <c r="V6" s="1904" t="s">
        <v>1168</v>
      </c>
      <c r="W6" s="1273">
        <v>152</v>
      </c>
      <c r="X6" s="1273">
        <v>152</v>
      </c>
      <c r="Y6" s="1273">
        <v>237</v>
      </c>
      <c r="Z6" s="1910">
        <f t="shared" si="9"/>
        <v>541</v>
      </c>
      <c r="AA6" s="1273">
        <v>168</v>
      </c>
      <c r="AB6" s="1910">
        <f t="shared" si="10"/>
        <v>709</v>
      </c>
    </row>
    <row r="7" spans="1:28" ht="18.75" thickBot="1">
      <c r="A7" s="644">
        <v>2009</v>
      </c>
      <c r="B7" s="645">
        <v>5951</v>
      </c>
      <c r="C7" s="645">
        <v>466</v>
      </c>
      <c r="D7" s="645">
        <v>3922</v>
      </c>
      <c r="E7" s="645">
        <v>308</v>
      </c>
      <c r="F7" s="645">
        <v>128</v>
      </c>
      <c r="G7" s="645">
        <v>2899</v>
      </c>
      <c r="H7" s="645">
        <v>159</v>
      </c>
      <c r="I7" s="645">
        <v>850</v>
      </c>
      <c r="J7" s="1154">
        <f t="shared" si="0"/>
        <v>14683</v>
      </c>
      <c r="K7" s="1071">
        <f t="shared" si="1"/>
        <v>0.40529864469113941</v>
      </c>
      <c r="L7" s="1071">
        <f t="shared" si="2"/>
        <v>3.1737383368521423E-2</v>
      </c>
      <c r="M7" s="1071">
        <f t="shared" si="3"/>
        <v>0.26711162568957297</v>
      </c>
      <c r="N7" s="1071">
        <f t="shared" si="4"/>
        <v>2.0976639651297417E-2</v>
      </c>
      <c r="O7" s="1071">
        <f t="shared" si="5"/>
        <v>8.7175645304093177E-3</v>
      </c>
      <c r="P7" s="1071">
        <f t="shared" si="6"/>
        <v>0.19743921541919227</v>
      </c>
      <c r="Q7" s="1071">
        <f t="shared" si="7"/>
        <v>1.0828849690117824E-2</v>
      </c>
      <c r="R7" s="1071">
        <f t="shared" si="8"/>
        <v>5.7890076959749369E-2</v>
      </c>
      <c r="V7" s="1904" t="s">
        <v>1169</v>
      </c>
      <c r="W7" s="1273">
        <v>791</v>
      </c>
      <c r="X7" s="1273">
        <v>816</v>
      </c>
      <c r="Y7" s="1273">
        <v>872</v>
      </c>
      <c r="Z7" s="1910">
        <f t="shared" si="9"/>
        <v>2479</v>
      </c>
      <c r="AA7" s="1273">
        <v>820</v>
      </c>
      <c r="AB7" s="1910">
        <f t="shared" si="10"/>
        <v>3299</v>
      </c>
    </row>
    <row r="8" spans="1:28" ht="18.75" thickBot="1">
      <c r="A8" s="646">
        <v>2010</v>
      </c>
      <c r="B8" s="645">
        <v>6247</v>
      </c>
      <c r="C8" s="645">
        <v>524</v>
      </c>
      <c r="D8" s="645">
        <v>4790</v>
      </c>
      <c r="E8" s="645">
        <v>428</v>
      </c>
      <c r="F8" s="645">
        <v>239</v>
      </c>
      <c r="G8" s="645">
        <v>3860</v>
      </c>
      <c r="H8" s="645">
        <v>234</v>
      </c>
      <c r="I8" s="645">
        <v>1134</v>
      </c>
      <c r="J8" s="1154">
        <f t="shared" si="0"/>
        <v>17456</v>
      </c>
      <c r="K8" s="1071">
        <f t="shared" si="1"/>
        <v>0.35787121906507791</v>
      </c>
      <c r="L8" s="1071">
        <f t="shared" si="2"/>
        <v>3.0018331805682859E-2</v>
      </c>
      <c r="M8" s="1071">
        <f t="shared" si="3"/>
        <v>0.27440421631530704</v>
      </c>
      <c r="N8" s="1071">
        <f t="shared" si="4"/>
        <v>2.451879010082493E-2</v>
      </c>
      <c r="O8" s="1071">
        <f t="shared" si="5"/>
        <v>1.3691567369385885E-2</v>
      </c>
      <c r="P8" s="1071">
        <f t="shared" si="6"/>
        <v>0.22112740604949588</v>
      </c>
      <c r="Q8" s="1071">
        <f t="shared" si="7"/>
        <v>1.3405132905591201E-2</v>
      </c>
      <c r="R8" s="1071">
        <f t="shared" si="8"/>
        <v>6.4963336388634274E-2</v>
      </c>
      <c r="V8" s="1904" t="s">
        <v>1170</v>
      </c>
      <c r="W8" s="1273">
        <v>139</v>
      </c>
      <c r="X8" s="1273">
        <v>132</v>
      </c>
      <c r="Y8" s="1273">
        <v>172</v>
      </c>
      <c r="Z8" s="1910">
        <f t="shared" si="9"/>
        <v>443</v>
      </c>
      <c r="AA8" s="1273">
        <v>130</v>
      </c>
      <c r="AB8" s="1910">
        <f t="shared" si="10"/>
        <v>573</v>
      </c>
    </row>
    <row r="9" spans="1:28" ht="18.75" customHeight="1" thickBot="1">
      <c r="A9" s="646">
        <v>2011</v>
      </c>
      <c r="B9" s="645">
        <v>7512</v>
      </c>
      <c r="C9" s="645">
        <v>818</v>
      </c>
      <c r="D9" s="645">
        <v>6018</v>
      </c>
      <c r="E9" s="645">
        <v>681</v>
      </c>
      <c r="F9" s="645">
        <v>471</v>
      </c>
      <c r="G9" s="645">
        <v>5158</v>
      </c>
      <c r="H9" s="645">
        <v>364</v>
      </c>
      <c r="I9" s="645">
        <v>1575</v>
      </c>
      <c r="J9" s="1154">
        <f t="shared" si="0"/>
        <v>22597</v>
      </c>
      <c r="K9" s="1071">
        <f t="shared" si="1"/>
        <v>0.33243350887285922</v>
      </c>
      <c r="L9" s="1071">
        <f t="shared" si="2"/>
        <v>3.6199495508253306E-2</v>
      </c>
      <c r="M9" s="1071">
        <f t="shared" si="3"/>
        <v>0.26631853785900783</v>
      </c>
      <c r="N9" s="1071">
        <f t="shared" si="4"/>
        <v>3.0136743815550735E-2</v>
      </c>
      <c r="O9" s="1071">
        <f t="shared" si="5"/>
        <v>2.0843474797539497E-2</v>
      </c>
      <c r="P9" s="1071">
        <f t="shared" si="6"/>
        <v>0.22826038854715228</v>
      </c>
      <c r="Q9" s="1071">
        <f t="shared" si="7"/>
        <v>1.6108332964552816E-2</v>
      </c>
      <c r="R9" s="1071">
        <f t="shared" si="8"/>
        <v>6.9699517635084307E-2</v>
      </c>
      <c r="V9" s="1904" t="s">
        <v>1171</v>
      </c>
      <c r="W9" s="1273">
        <v>49</v>
      </c>
      <c r="X9" s="1273">
        <v>53</v>
      </c>
      <c r="Y9" s="1273">
        <v>62</v>
      </c>
      <c r="Z9" s="1910">
        <f t="shared" si="9"/>
        <v>164</v>
      </c>
      <c r="AA9" s="1273">
        <v>55</v>
      </c>
      <c r="AB9" s="1910">
        <f t="shared" si="10"/>
        <v>219</v>
      </c>
    </row>
    <row r="10" spans="1:28" ht="13.5" customHeight="1" thickBot="1">
      <c r="A10" s="646" t="s">
        <v>443</v>
      </c>
      <c r="B10" s="645">
        <v>8554</v>
      </c>
      <c r="C10" s="645">
        <v>1073</v>
      </c>
      <c r="D10" s="645">
        <v>7266</v>
      </c>
      <c r="E10" s="645">
        <v>925</v>
      </c>
      <c r="F10" s="645">
        <v>535</v>
      </c>
      <c r="G10" s="645">
        <v>5902</v>
      </c>
      <c r="H10" s="645">
        <v>474</v>
      </c>
      <c r="I10" s="645">
        <v>1959</v>
      </c>
      <c r="J10" s="1154">
        <f t="shared" si="0"/>
        <v>26688</v>
      </c>
      <c r="K10" s="1071">
        <f t="shared" si="1"/>
        <v>0.32051858513189446</v>
      </c>
      <c r="L10" s="1071">
        <f t="shared" si="2"/>
        <v>4.0205335731414868E-2</v>
      </c>
      <c r="M10" s="1071">
        <f t="shared" si="3"/>
        <v>0.27225719424460432</v>
      </c>
      <c r="N10" s="1071">
        <f t="shared" si="4"/>
        <v>3.4659772182254196E-2</v>
      </c>
      <c r="O10" s="1071">
        <f t="shared" si="5"/>
        <v>2.0046462829736211E-2</v>
      </c>
      <c r="P10" s="1071">
        <f t="shared" si="6"/>
        <v>0.2211480815347722</v>
      </c>
      <c r="Q10" s="1071">
        <f t="shared" si="7"/>
        <v>1.7760791366906475E-2</v>
      </c>
      <c r="R10" s="1071">
        <f t="shared" si="8"/>
        <v>7.3403776978417268E-2</v>
      </c>
      <c r="V10" s="1904" t="s">
        <v>1172</v>
      </c>
      <c r="W10" s="1273">
        <v>739</v>
      </c>
      <c r="X10" s="1273">
        <v>665</v>
      </c>
      <c r="Y10" s="1273">
        <v>784</v>
      </c>
      <c r="Z10" s="1910">
        <f t="shared" si="9"/>
        <v>2188</v>
      </c>
      <c r="AA10" s="1273">
        <v>729</v>
      </c>
      <c r="AB10" s="1910">
        <f t="shared" si="10"/>
        <v>2917</v>
      </c>
    </row>
    <row r="11" spans="1:28" s="372" customFormat="1" ht="18.75" thickBot="1">
      <c r="A11" s="646" t="s">
        <v>444</v>
      </c>
      <c r="B11" s="645">
        <v>9093</v>
      </c>
      <c r="C11" s="645">
        <v>1147</v>
      </c>
      <c r="D11" s="645">
        <v>8256</v>
      </c>
      <c r="E11" s="645">
        <v>933</v>
      </c>
      <c r="F11" s="645">
        <v>584</v>
      </c>
      <c r="G11" s="645">
        <v>5913</v>
      </c>
      <c r="H11" s="645">
        <v>417</v>
      </c>
      <c r="I11" s="645">
        <v>2292</v>
      </c>
      <c r="J11" s="1154">
        <f t="shared" si="0"/>
        <v>28635</v>
      </c>
      <c r="K11" s="1071">
        <f t="shared" si="1"/>
        <v>0.31754845468831849</v>
      </c>
      <c r="L11" s="1071">
        <f t="shared" si="2"/>
        <v>4.0055875676619522E-2</v>
      </c>
      <c r="M11" s="1071">
        <f t="shared" si="3"/>
        <v>0.28831849135673127</v>
      </c>
      <c r="N11" s="1071">
        <f t="shared" si="4"/>
        <v>3.2582503928758513E-2</v>
      </c>
      <c r="O11" s="1071">
        <f t="shared" si="5"/>
        <v>2.0394621966125372E-2</v>
      </c>
      <c r="P11" s="1071">
        <f t="shared" si="6"/>
        <v>0.20649554740701939</v>
      </c>
      <c r="Q11" s="1071">
        <f t="shared" si="7"/>
        <v>1.4562598218962807E-2</v>
      </c>
      <c r="R11" s="1071">
        <f t="shared" si="8"/>
        <v>8.0041906757464643E-2</v>
      </c>
      <c r="S11" s="307"/>
      <c r="V11" s="1904" t="s">
        <v>1173</v>
      </c>
      <c r="W11" s="1273">
        <v>63</v>
      </c>
      <c r="X11" s="1273">
        <v>52</v>
      </c>
      <c r="Y11" s="1273">
        <v>74</v>
      </c>
      <c r="Z11" s="1910">
        <f t="shared" si="9"/>
        <v>189</v>
      </c>
      <c r="AA11" s="1273">
        <v>54</v>
      </c>
      <c r="AB11" s="1910">
        <f t="shared" si="10"/>
        <v>243</v>
      </c>
    </row>
    <row r="12" spans="1:28" s="372" customFormat="1" ht="18.75" thickBot="1">
      <c r="A12" s="646" t="s">
        <v>445</v>
      </c>
      <c r="B12" s="645">
        <v>10098</v>
      </c>
      <c r="C12" s="645">
        <v>1346</v>
      </c>
      <c r="D12" s="645">
        <v>8494</v>
      </c>
      <c r="E12" s="645">
        <v>1003</v>
      </c>
      <c r="F12" s="645">
        <v>627</v>
      </c>
      <c r="G12" s="645">
        <v>6354</v>
      </c>
      <c r="H12" s="645">
        <v>518</v>
      </c>
      <c r="I12" s="645">
        <v>2592</v>
      </c>
      <c r="J12" s="1154">
        <f t="shared" si="0"/>
        <v>31032</v>
      </c>
      <c r="K12" s="1071">
        <f t="shared" si="1"/>
        <v>0.32540603248259858</v>
      </c>
      <c r="L12" s="1071">
        <f t="shared" si="2"/>
        <v>4.337458107759732E-2</v>
      </c>
      <c r="M12" s="1071">
        <f t="shared" si="3"/>
        <v>0.27371745295179167</v>
      </c>
      <c r="N12" s="1071">
        <f t="shared" si="4"/>
        <v>3.2321474606857435E-2</v>
      </c>
      <c r="O12" s="1071">
        <f t="shared" si="5"/>
        <v>2.0204949729311677E-2</v>
      </c>
      <c r="P12" s="1071">
        <f t="shared" si="6"/>
        <v>0.20475638051044084</v>
      </c>
      <c r="Q12" s="1071">
        <f t="shared" si="7"/>
        <v>1.6692446506831656E-2</v>
      </c>
      <c r="R12" s="1071">
        <f t="shared" si="8"/>
        <v>8.3526682134570762E-2</v>
      </c>
      <c r="S12" s="307"/>
      <c r="V12" s="1905" t="s">
        <v>1174</v>
      </c>
      <c r="W12" s="1906">
        <v>258</v>
      </c>
      <c r="X12" s="1906">
        <v>266</v>
      </c>
      <c r="Y12" s="1906">
        <v>333</v>
      </c>
      <c r="Z12" s="1911">
        <f t="shared" si="9"/>
        <v>857</v>
      </c>
      <c r="AA12" s="1906">
        <v>244</v>
      </c>
      <c r="AB12" s="1910">
        <f t="shared" si="10"/>
        <v>1101</v>
      </c>
    </row>
    <row r="13" spans="1:28" s="372" customFormat="1" ht="18.75" thickBot="1">
      <c r="A13" s="646" t="s">
        <v>447</v>
      </c>
      <c r="B13" s="645">
        <v>11104</v>
      </c>
      <c r="C13" s="645">
        <v>1417</v>
      </c>
      <c r="D13" s="645">
        <v>9714</v>
      </c>
      <c r="E13" s="645">
        <v>1229</v>
      </c>
      <c r="F13" s="645">
        <v>451</v>
      </c>
      <c r="G13" s="645">
        <v>7190</v>
      </c>
      <c r="H13" s="645">
        <v>574</v>
      </c>
      <c r="I13" s="645">
        <v>2870</v>
      </c>
      <c r="J13" s="1154">
        <f t="shared" si="0"/>
        <v>34549</v>
      </c>
      <c r="K13" s="1071">
        <f t="shared" si="1"/>
        <v>0.32139859330226633</v>
      </c>
      <c r="L13" s="1071">
        <f t="shared" si="2"/>
        <v>4.1014211699325592E-2</v>
      </c>
      <c r="M13" s="1071">
        <f t="shared" si="3"/>
        <v>0.28116588034385942</v>
      </c>
      <c r="N13" s="1071">
        <f t="shared" si="4"/>
        <v>3.5572664910706535E-2</v>
      </c>
      <c r="O13" s="1071">
        <f t="shared" si="5"/>
        <v>1.305392341312339E-2</v>
      </c>
      <c r="P13" s="1071">
        <f t="shared" si="6"/>
        <v>0.20811022026686735</v>
      </c>
      <c r="Q13" s="1071">
        <f t="shared" si="7"/>
        <v>1.6614084343975224E-2</v>
      </c>
      <c r="R13" s="1071">
        <f t="shared" si="8"/>
        <v>8.3070421719876122E-2</v>
      </c>
      <c r="S13" s="307"/>
      <c r="AB13" s="1910"/>
    </row>
    <row r="14" spans="1:28" s="372" customFormat="1">
      <c r="A14" s="646" t="s">
        <v>448</v>
      </c>
      <c r="B14" s="645">
        <v>13004</v>
      </c>
      <c r="C14" s="645">
        <v>1848</v>
      </c>
      <c r="D14" s="645">
        <v>10279</v>
      </c>
      <c r="E14" s="645">
        <v>1386</v>
      </c>
      <c r="F14" s="645">
        <v>557</v>
      </c>
      <c r="G14" s="645">
        <v>7820</v>
      </c>
      <c r="H14" s="645">
        <v>635</v>
      </c>
      <c r="I14" s="645">
        <v>3327</v>
      </c>
      <c r="J14" s="1154">
        <f t="shared" si="0"/>
        <v>38856</v>
      </c>
      <c r="K14" s="1071">
        <f t="shared" si="1"/>
        <v>0.33467160798847023</v>
      </c>
      <c r="L14" s="1071">
        <f t="shared" si="2"/>
        <v>4.7560222359481159E-2</v>
      </c>
      <c r="M14" s="1071">
        <f t="shared" si="3"/>
        <v>0.26454086884908379</v>
      </c>
      <c r="N14" s="1071">
        <f t="shared" si="4"/>
        <v>3.5670166769610871E-2</v>
      </c>
      <c r="O14" s="1071">
        <f t="shared" si="5"/>
        <v>1.4334980440601193E-2</v>
      </c>
      <c r="P14" s="1071">
        <f t="shared" si="6"/>
        <v>0.20125591929174388</v>
      </c>
      <c r="Q14" s="1071">
        <f t="shared" si="7"/>
        <v>1.6342392423306568E-2</v>
      </c>
      <c r="R14" s="1071">
        <f t="shared" si="8"/>
        <v>8.5623841877702292E-2</v>
      </c>
      <c r="S14" s="307"/>
    </row>
    <row r="15" spans="1:28" s="372" customFormat="1" ht="18.75" customHeight="1">
      <c r="A15" s="646" t="s">
        <v>449</v>
      </c>
      <c r="B15" s="645">
        <v>14295</v>
      </c>
      <c r="C15" s="645">
        <v>2006</v>
      </c>
      <c r="D15" s="645">
        <v>10762</v>
      </c>
      <c r="E15" s="645">
        <v>1529</v>
      </c>
      <c r="F15" s="645">
        <v>713</v>
      </c>
      <c r="G15" s="645">
        <v>7971</v>
      </c>
      <c r="H15" s="645">
        <v>693</v>
      </c>
      <c r="I15" s="645">
        <v>3520</v>
      </c>
      <c r="J15" s="1154">
        <f t="shared" si="0"/>
        <v>41489</v>
      </c>
      <c r="K15" s="1071">
        <f t="shared" si="1"/>
        <v>0.34454915760804067</v>
      </c>
      <c r="L15" s="1071">
        <f t="shared" si="2"/>
        <v>4.8350165104003473E-2</v>
      </c>
      <c r="M15" s="1071">
        <f t="shared" si="3"/>
        <v>0.25939405625587503</v>
      </c>
      <c r="N15" s="1071">
        <f t="shared" si="4"/>
        <v>3.6853141796620789E-2</v>
      </c>
      <c r="O15" s="1071">
        <f t="shared" si="5"/>
        <v>1.7185278025500735E-2</v>
      </c>
      <c r="P15" s="1071">
        <f t="shared" si="6"/>
        <v>0.19212321338186025</v>
      </c>
      <c r="Q15" s="1071">
        <f t="shared" si="7"/>
        <v>1.6703222540914459E-2</v>
      </c>
      <c r="R15" s="1071">
        <f t="shared" si="8"/>
        <v>8.4841765287184553E-2</v>
      </c>
      <c r="S15" s="307"/>
      <c r="Z15" s="372">
        <f>SUM(Z5:Z14)</f>
        <v>12645</v>
      </c>
    </row>
    <row r="16" spans="1:28" s="372" customFormat="1">
      <c r="A16" s="646" t="s">
        <v>450</v>
      </c>
      <c r="B16" s="645">
        <v>16903</v>
      </c>
      <c r="C16" s="645">
        <v>2403</v>
      </c>
      <c r="D16" s="645">
        <v>10960</v>
      </c>
      <c r="E16" s="645">
        <v>1808</v>
      </c>
      <c r="F16" s="645">
        <v>722</v>
      </c>
      <c r="G16" s="645">
        <v>8122</v>
      </c>
      <c r="H16" s="645">
        <v>830</v>
      </c>
      <c r="I16" s="645">
        <v>3722</v>
      </c>
      <c r="J16" s="1154">
        <f t="shared" si="0"/>
        <v>45470</v>
      </c>
      <c r="K16" s="1071">
        <f t="shared" si="1"/>
        <v>0.37173960853309873</v>
      </c>
      <c r="L16" s="1071">
        <f t="shared" si="2"/>
        <v>5.2848031669232458E-2</v>
      </c>
      <c r="M16" s="1071">
        <f t="shared" si="3"/>
        <v>0.24103804706399823</v>
      </c>
      <c r="N16" s="1071">
        <f t="shared" si="4"/>
        <v>3.9762480756542776E-2</v>
      </c>
      <c r="O16" s="1071">
        <f t="shared" si="5"/>
        <v>1.5878601275566308E-2</v>
      </c>
      <c r="P16" s="1071">
        <f t="shared" si="6"/>
        <v>0.17862326808884979</v>
      </c>
      <c r="Q16" s="1071">
        <f t="shared" si="7"/>
        <v>1.8253793710138553E-2</v>
      </c>
      <c r="R16" s="1071">
        <f t="shared" si="8"/>
        <v>8.185616890257312E-2</v>
      </c>
      <c r="S16" s="307"/>
    </row>
    <row r="17" spans="1:28" s="372" customFormat="1">
      <c r="A17" s="646" t="s">
        <v>451</v>
      </c>
      <c r="B17" s="645">
        <v>18434</v>
      </c>
      <c r="C17" s="645">
        <v>1949</v>
      </c>
      <c r="D17" s="645">
        <v>11829</v>
      </c>
      <c r="E17" s="645">
        <v>2244</v>
      </c>
      <c r="F17" s="645">
        <v>854</v>
      </c>
      <c r="G17" s="645">
        <v>8942</v>
      </c>
      <c r="H17" s="645">
        <v>824</v>
      </c>
      <c r="I17" s="645">
        <v>4072</v>
      </c>
      <c r="J17" s="1154">
        <f t="shared" si="0"/>
        <v>49148</v>
      </c>
      <c r="K17" s="1071">
        <f t="shared" si="1"/>
        <v>0.37507121347765932</v>
      </c>
      <c r="L17" s="1071">
        <f t="shared" si="2"/>
        <v>3.965573370228697E-2</v>
      </c>
      <c r="M17" s="1071">
        <f t="shared" si="3"/>
        <v>0.24068120778058111</v>
      </c>
      <c r="N17" s="1071">
        <f t="shared" si="4"/>
        <v>4.5658012533572066E-2</v>
      </c>
      <c r="O17" s="1071">
        <f t="shared" si="5"/>
        <v>1.7376088548872792E-2</v>
      </c>
      <c r="P17" s="1071">
        <f t="shared" si="6"/>
        <v>0.1819402620655978</v>
      </c>
      <c r="Q17" s="1071">
        <f t="shared" si="7"/>
        <v>1.676568731179295E-2</v>
      </c>
      <c r="R17" s="1071">
        <f t="shared" si="8"/>
        <v>8.2851794579637011E-2</v>
      </c>
      <c r="S17" s="307"/>
    </row>
    <row r="18" spans="1:28" s="372" customFormat="1">
      <c r="A18" s="644">
        <v>2020</v>
      </c>
      <c r="B18" s="645">
        <v>16908</v>
      </c>
      <c r="C18" s="645">
        <v>1624</v>
      </c>
      <c r="D18" s="645">
        <v>9095</v>
      </c>
      <c r="E18" s="645">
        <v>1711</v>
      </c>
      <c r="F18" s="645">
        <v>1369</v>
      </c>
      <c r="G18" s="645">
        <v>5073</v>
      </c>
      <c r="H18" s="645">
        <v>833</v>
      </c>
      <c r="I18" s="645">
        <v>3532</v>
      </c>
      <c r="J18" s="1154">
        <f t="shared" si="0"/>
        <v>40145</v>
      </c>
      <c r="K18" s="1071">
        <f t="shared" si="1"/>
        <v>0.4211732469796986</v>
      </c>
      <c r="L18" s="1071">
        <f t="shared" si="2"/>
        <v>4.0453356582388841E-2</v>
      </c>
      <c r="M18" s="1071">
        <f t="shared" si="3"/>
        <v>0.22655374268277495</v>
      </c>
      <c r="N18" s="1071">
        <f t="shared" si="4"/>
        <v>4.2620500685016813E-2</v>
      </c>
      <c r="O18" s="1071">
        <f t="shared" si="5"/>
        <v>3.4101382488479264E-2</v>
      </c>
      <c r="P18" s="1071">
        <f t="shared" si="6"/>
        <v>0.12636691991530702</v>
      </c>
      <c r="Q18" s="1071">
        <f t="shared" si="7"/>
        <v>2.0749782040104622E-2</v>
      </c>
      <c r="R18" s="1071">
        <f t="shared" si="8"/>
        <v>8.7981068626229911E-2</v>
      </c>
      <c r="S18" s="307"/>
    </row>
    <row r="19" spans="1:28" s="372" customFormat="1">
      <c r="A19" s="644">
        <v>2021</v>
      </c>
      <c r="B19" s="645">
        <v>21434</v>
      </c>
      <c r="C19" s="645">
        <v>1874</v>
      </c>
      <c r="D19" s="645">
        <v>10126</v>
      </c>
      <c r="E19" s="645">
        <v>1855</v>
      </c>
      <c r="F19" s="645">
        <v>907</v>
      </c>
      <c r="G19" s="645">
        <v>6664</v>
      </c>
      <c r="H19" s="645">
        <v>795</v>
      </c>
      <c r="I19" s="645">
        <v>3795</v>
      </c>
      <c r="J19" s="1154">
        <f t="shared" si="0"/>
        <v>47450</v>
      </c>
      <c r="K19" s="1071">
        <f t="shared" si="1"/>
        <v>0.45171759747102214</v>
      </c>
      <c r="L19" s="1071">
        <f t="shared" si="2"/>
        <v>3.9494204425711277E-2</v>
      </c>
      <c r="M19" s="1071">
        <f t="shared" si="3"/>
        <v>0.2134035827186512</v>
      </c>
      <c r="N19" s="1071">
        <f t="shared" si="4"/>
        <v>3.909378292939937E-2</v>
      </c>
      <c r="O19" s="1071">
        <f t="shared" si="5"/>
        <v>1.9114857744994732E-2</v>
      </c>
      <c r="P19" s="1071">
        <f t="shared" si="6"/>
        <v>0.14044257112750264</v>
      </c>
      <c r="Q19" s="1071">
        <f t="shared" si="7"/>
        <v>1.6754478398314013E-2</v>
      </c>
      <c r="R19" s="1071">
        <f t="shared" si="8"/>
        <v>7.9978925184404637E-2</v>
      </c>
      <c r="S19" s="307"/>
    </row>
    <row r="20" spans="1:28" s="372" customFormat="1" ht="21.75" customHeight="1">
      <c r="A20" s="644">
        <v>2022</v>
      </c>
      <c r="B20" s="645">
        <v>22115</v>
      </c>
      <c r="C20" s="645">
        <v>1642</v>
      </c>
      <c r="D20" s="645">
        <v>10022</v>
      </c>
      <c r="E20" s="645">
        <v>1884</v>
      </c>
      <c r="F20" s="645">
        <v>641</v>
      </c>
      <c r="G20" s="645">
        <v>8386</v>
      </c>
      <c r="H20" s="645">
        <v>866</v>
      </c>
      <c r="I20" s="645">
        <v>4039</v>
      </c>
      <c r="J20" s="1154">
        <v>49595</v>
      </c>
      <c r="K20" s="1071">
        <v>0.44591188627885875</v>
      </c>
      <c r="L20" s="1071">
        <v>3.3108176227442283E-2</v>
      </c>
      <c r="M20" s="1071">
        <v>0.20207682226030849</v>
      </c>
      <c r="N20" s="1071">
        <v>3.7987700373021474E-2</v>
      </c>
      <c r="O20" s="1071">
        <v>1.2924689988910172E-2</v>
      </c>
      <c r="P20" s="1071">
        <v>0.16908962597035992</v>
      </c>
      <c r="Q20" s="1071">
        <v>1.7461437644923885E-2</v>
      </c>
      <c r="R20" s="1071">
        <v>8.1439661256175022E-2</v>
      </c>
      <c r="S20" s="307"/>
    </row>
    <row r="21" spans="1:28" s="372" customFormat="1">
      <c r="A21" s="644">
        <v>2023</v>
      </c>
      <c r="B21" s="899">
        <v>21670</v>
      </c>
      <c r="C21" s="645">
        <v>1339</v>
      </c>
      <c r="D21" s="645">
        <v>9826</v>
      </c>
      <c r="E21" s="645">
        <v>1739</v>
      </c>
      <c r="F21" s="645">
        <v>404</v>
      </c>
      <c r="G21" s="645">
        <v>7949</v>
      </c>
      <c r="H21" s="645">
        <v>655</v>
      </c>
      <c r="I21" s="645">
        <v>3215</v>
      </c>
      <c r="J21" s="1154">
        <f>SUM(B21:I21)</f>
        <v>46797</v>
      </c>
      <c r="K21" s="1071">
        <f>B21/J21</f>
        <v>0.46306387161570184</v>
      </c>
      <c r="L21" s="1071">
        <f>C21/J21</f>
        <v>2.8612945274269719E-2</v>
      </c>
      <c r="M21" s="1071">
        <f>D21/J21</f>
        <v>0.20997072461909952</v>
      </c>
      <c r="N21" s="1071">
        <f>E21/J21</f>
        <v>3.7160501741564628E-2</v>
      </c>
      <c r="O21" s="1071">
        <f>F21/J21</f>
        <v>8.6330320319678612E-3</v>
      </c>
      <c r="P21" s="1071">
        <f>G21/J21</f>
        <v>0.16986131589631814</v>
      </c>
      <c r="Q21" s="1071">
        <f>H21/J21</f>
        <v>1.3996623715195418E-2</v>
      </c>
      <c r="R21" s="1071">
        <f>I21/J21</f>
        <v>6.870098510588285E-2</v>
      </c>
      <c r="S21" s="307"/>
    </row>
    <row r="22" spans="1:28">
      <c r="A22" s="644" t="str">
        <f>+'Resumen '!O6</f>
        <v>Abr.2025</v>
      </c>
      <c r="B22" s="899">
        <v>7688</v>
      </c>
      <c r="C22" s="899">
        <v>709</v>
      </c>
      <c r="D22" s="899">
        <v>3299</v>
      </c>
      <c r="E22" s="899">
        <v>573</v>
      </c>
      <c r="F22" s="899">
        <v>219</v>
      </c>
      <c r="G22" s="899">
        <v>2917</v>
      </c>
      <c r="H22" s="899">
        <v>243</v>
      </c>
      <c r="I22" s="899">
        <v>1101</v>
      </c>
      <c r="J22" s="1154">
        <f>SUM(B22:I22)</f>
        <v>16749</v>
      </c>
      <c r="K22" s="1071">
        <f>B22/J22</f>
        <v>0.45901247835691683</v>
      </c>
      <c r="L22" s="1071">
        <f>C22/J22</f>
        <v>4.2330885425995585E-2</v>
      </c>
      <c r="M22" s="1071">
        <f>D22/J22</f>
        <v>0.19696698310346886</v>
      </c>
      <c r="N22" s="1071">
        <f>E22/J22</f>
        <v>3.4210997671502777E-2</v>
      </c>
      <c r="O22" s="1071">
        <f>F22/J22</f>
        <v>1.307540748701415E-2</v>
      </c>
      <c r="P22" s="1071">
        <f>G22/J22</f>
        <v>0.17415965132246702</v>
      </c>
      <c r="Q22" s="1071">
        <f>H22/J22</f>
        <v>1.4508328855454057E-2</v>
      </c>
      <c r="R22" s="1071">
        <f>I22/J22</f>
        <v>6.5735267777180723E-2</v>
      </c>
      <c r="U22" s="372"/>
      <c r="V22" s="372"/>
      <c r="W22" s="372"/>
      <c r="X22" s="372"/>
      <c r="Y22" s="372"/>
      <c r="Z22" s="372"/>
      <c r="AA22" s="372"/>
      <c r="AB22" s="372"/>
    </row>
    <row r="23" spans="1:28">
      <c r="A23" s="647" t="s">
        <v>243</v>
      </c>
      <c r="B23" s="648">
        <f t="shared" ref="B23:J23" si="11">SUM(B5:B22)</f>
        <v>221507</v>
      </c>
      <c r="C23" s="648">
        <f t="shared" si="11"/>
        <v>22901</v>
      </c>
      <c r="D23" s="648">
        <f t="shared" si="11"/>
        <v>138269</v>
      </c>
      <c r="E23" s="648">
        <f t="shared" si="11"/>
        <v>20515</v>
      </c>
      <c r="F23" s="648">
        <f t="shared" si="11"/>
        <v>9536</v>
      </c>
      <c r="G23" s="648">
        <f t="shared" si="11"/>
        <v>104657</v>
      </c>
      <c r="H23" s="648">
        <f t="shared" si="11"/>
        <v>9228</v>
      </c>
      <c r="I23" s="648">
        <f t="shared" si="11"/>
        <v>44247</v>
      </c>
      <c r="J23" s="1155">
        <f t="shared" si="11"/>
        <v>570860</v>
      </c>
      <c r="K23" s="649">
        <f>B23/J23</f>
        <v>0.38802333321655047</v>
      </c>
      <c r="L23" s="649">
        <f>C23/J23</f>
        <v>4.0116666082752342E-2</v>
      </c>
      <c r="M23" s="649">
        <f>D23/J23</f>
        <v>0.24221175069193848</v>
      </c>
      <c r="N23" s="649">
        <f>E23/J23</f>
        <v>3.5937007322285677E-2</v>
      </c>
      <c r="O23" s="649">
        <f>F23/J23</f>
        <v>1.6704621097992502E-2</v>
      </c>
      <c r="P23" s="649">
        <f>G23/J23</f>
        <v>0.18333216550467715</v>
      </c>
      <c r="Q23" s="649">
        <f>H23/J23</f>
        <v>1.6165084258837545E-2</v>
      </c>
      <c r="R23" s="649">
        <f>I23/J23</f>
        <v>7.7509371824965839E-2</v>
      </c>
      <c r="U23" s="372"/>
      <c r="V23" s="372"/>
      <c r="W23" s="372"/>
      <c r="X23" s="372"/>
      <c r="Y23" s="372"/>
      <c r="Z23" s="372"/>
      <c r="AA23" s="372"/>
      <c r="AB23" s="372"/>
    </row>
    <row r="24" spans="1:28">
      <c r="U24" s="372"/>
      <c r="V24" s="372"/>
      <c r="W24" s="372"/>
      <c r="X24" s="372"/>
      <c r="Y24" s="372"/>
      <c r="Z24" s="372"/>
      <c r="AA24" s="372"/>
      <c r="AB24" s="372"/>
    </row>
    <row r="25" spans="1:28">
      <c r="H25" s="431"/>
      <c r="J25" s="1156"/>
      <c r="U25" s="372"/>
      <c r="V25" s="372"/>
      <c r="W25" s="372"/>
      <c r="X25" s="372"/>
      <c r="Y25" s="372"/>
      <c r="Z25" s="372"/>
      <c r="AA25" s="372"/>
      <c r="AB25" s="372"/>
    </row>
    <row r="26" spans="1:28">
      <c r="J26" s="1156"/>
      <c r="U26" s="372"/>
      <c r="V26" s="372"/>
      <c r="W26" s="372"/>
      <c r="X26" s="372"/>
      <c r="Y26" s="372"/>
      <c r="Z26" s="372"/>
      <c r="AA26" s="372"/>
      <c r="AB26" s="372"/>
    </row>
    <row r="27" spans="1:28">
      <c r="J27" s="1156">
        <f t="shared" ref="J27:J32" si="12">+(J6-J5)/J5</f>
        <v>0.2847612359550562</v>
      </c>
      <c r="U27" s="372"/>
      <c r="V27" s="372"/>
      <c r="W27" s="372"/>
      <c r="X27" s="372"/>
      <c r="Y27" s="372"/>
      <c r="Z27" s="372"/>
      <c r="AA27" s="372"/>
      <c r="AB27" s="372"/>
    </row>
    <row r="28" spans="1:28">
      <c r="J28" s="1156">
        <f t="shared" si="12"/>
        <v>0.33761501320943793</v>
      </c>
      <c r="K28" s="364"/>
      <c r="U28" s="372"/>
      <c r="V28" s="372"/>
      <c r="W28" s="372"/>
      <c r="X28" s="372"/>
      <c r="Y28" s="372"/>
      <c r="Z28" s="372"/>
      <c r="AA28" s="372"/>
      <c r="AB28" s="372"/>
    </row>
    <row r="29" spans="1:28">
      <c r="J29" s="1156">
        <f t="shared" si="12"/>
        <v>0.18885786283457059</v>
      </c>
      <c r="K29" s="364"/>
    </row>
    <row r="30" spans="1:28">
      <c r="J30" s="1156">
        <f t="shared" si="12"/>
        <v>0.29451191567369384</v>
      </c>
      <c r="K30" s="364"/>
    </row>
    <row r="31" spans="1:28">
      <c r="J31" s="1156">
        <f t="shared" si="12"/>
        <v>0.18104173120325706</v>
      </c>
      <c r="K31" s="364"/>
    </row>
    <row r="32" spans="1:28">
      <c r="J32" s="1156">
        <f t="shared" si="12"/>
        <v>7.2954136690647486E-2</v>
      </c>
      <c r="K32" s="364"/>
    </row>
    <row r="33" spans="3:11">
      <c r="J33" s="1156"/>
      <c r="K33" s="364"/>
    </row>
    <row r="34" spans="3:11">
      <c r="J34" s="1156">
        <f>+(J12-J11)/J11</f>
        <v>8.3708748035620742E-2</v>
      </c>
      <c r="K34" s="364"/>
    </row>
    <row r="35" spans="3:11">
      <c r="J35" s="1156"/>
      <c r="K35" s="364"/>
    </row>
    <row r="36" spans="3:11">
      <c r="J36" s="1156">
        <f>AVERAGE(J25:J35)</f>
        <v>0.20620723480032627</v>
      </c>
      <c r="K36" s="364"/>
    </row>
    <row r="37" spans="3:11">
      <c r="J37" s="1156"/>
      <c r="K37" s="364"/>
    </row>
    <row r="38" spans="3:11">
      <c r="J38" s="1157"/>
      <c r="K38" s="364"/>
    </row>
    <row r="39" spans="3:11">
      <c r="J39" s="1157"/>
      <c r="K39" s="364"/>
    </row>
    <row r="40" spans="3:11">
      <c r="J40" s="1157"/>
      <c r="K40" s="364"/>
    </row>
    <row r="41" spans="3:11">
      <c r="J41" s="1157"/>
      <c r="K41" s="364"/>
    </row>
    <row r="42" spans="3:11">
      <c r="J42" s="1157"/>
      <c r="K42" s="364"/>
    </row>
    <row r="43" spans="3:11">
      <c r="J43" s="1157"/>
      <c r="K43" s="364"/>
    </row>
    <row r="44" spans="3:11">
      <c r="J44" s="1157"/>
      <c r="K44" s="364"/>
    </row>
    <row r="47" spans="3:11">
      <c r="C47" s="376"/>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19">
    <tabColor rgb="FF66FF33"/>
    <pageSetUpPr fitToPage="1"/>
  </sheetPr>
  <dimension ref="A1:X55"/>
  <sheetViews>
    <sheetView showGridLines="0" view="pageBreakPreview" zoomScale="70" zoomScaleNormal="85" zoomScaleSheetLayoutView="70" workbookViewId="0">
      <pane xSplit="1" ySplit="4" topLeftCell="B5" activePane="bottomRight" state="frozen"/>
      <selection pane="bottomRight" activeCell="T5" sqref="T5"/>
      <selection pane="bottomLeft" activeCell="A5" sqref="A5"/>
      <selection pane="topRight" activeCell="B1" sqref="B1"/>
    </sheetView>
  </sheetViews>
  <sheetFormatPr defaultColWidth="11.42578125" defaultRowHeight="15"/>
  <cols>
    <col min="1" max="1" width="47.5703125" style="307" customWidth="1"/>
    <col min="2" max="6" width="22" style="1374" customWidth="1"/>
    <col min="7" max="7" width="26.42578125" style="1374" customWidth="1"/>
    <col min="8" max="8" width="18.7109375" style="337" customWidth="1"/>
    <col min="9" max="9" width="19.140625" style="1376" customWidth="1"/>
    <col min="10" max="10" width="17.42578125" style="307" customWidth="1"/>
    <col min="11" max="11" width="12.28515625" style="307" customWidth="1"/>
    <col min="12" max="12" width="49.5703125" style="307" customWidth="1"/>
    <col min="13" max="14" width="0" style="307" hidden="1" customWidth="1"/>
    <col min="15" max="15" width="0" style="1907" hidden="1" customWidth="1"/>
    <col min="16" max="16" width="0" style="307" hidden="1" customWidth="1"/>
    <col min="17" max="17" width="11.42578125" style="1913"/>
    <col min="18" max="16384" width="11.42578125" style="307"/>
  </cols>
  <sheetData>
    <row r="1" spans="1:24" s="541" customFormat="1" ht="68.25" customHeight="1">
      <c r="A1" s="2366" t="s">
        <v>1189</v>
      </c>
      <c r="B1" s="2366"/>
      <c r="C1" s="2366"/>
      <c r="D1" s="2366"/>
      <c r="E1" s="2366"/>
      <c r="F1" s="2366"/>
      <c r="G1" s="2366"/>
      <c r="H1" s="2366"/>
      <c r="I1" s="2366"/>
      <c r="J1" s="2366"/>
      <c r="M1" s="307"/>
      <c r="N1" s="307"/>
      <c r="O1" s="1907"/>
      <c r="Q1" s="1912"/>
    </row>
    <row r="2" spans="1:24" s="541" customFormat="1" ht="19.5" customHeight="1">
      <c r="A2" s="2328" t="str">
        <f>+'V.4.3. NA.Cant. accid x región'!A2:R2</f>
        <v>Período:  Diciembre 2007 - Abril 2025</v>
      </c>
      <c r="B2" s="2328"/>
      <c r="C2" s="2328"/>
      <c r="D2" s="2328"/>
      <c r="E2" s="2328"/>
      <c r="F2" s="2328"/>
      <c r="G2" s="2328"/>
      <c r="H2" s="2328"/>
      <c r="I2" s="2328"/>
      <c r="J2" s="2328"/>
      <c r="O2" s="1908"/>
      <c r="Q2" s="1912"/>
    </row>
    <row r="3" spans="1:24" ht="18">
      <c r="A3" s="1396"/>
      <c r="B3" s="1397"/>
      <c r="C3" s="1397"/>
      <c r="D3" s="1397"/>
      <c r="E3" s="1397"/>
      <c r="F3" s="1397"/>
    </row>
    <row r="4" spans="1:24" s="372" customFormat="1" ht="33" customHeight="1" thickBot="1">
      <c r="A4" s="601" t="s">
        <v>1190</v>
      </c>
      <c r="B4" s="1422" t="s">
        <v>1191</v>
      </c>
      <c r="C4" s="1422" t="s">
        <v>1192</v>
      </c>
      <c r="D4" s="1422" t="s">
        <v>1193</v>
      </c>
      <c r="E4" s="1422" t="s">
        <v>1007</v>
      </c>
      <c r="F4" s="1422" t="s">
        <v>594</v>
      </c>
      <c r="G4" s="1792" t="s">
        <v>1194</v>
      </c>
      <c r="H4" s="1423" t="s">
        <v>243</v>
      </c>
      <c r="I4" s="1460" t="s">
        <v>1195</v>
      </c>
      <c r="L4" s="1902" t="s">
        <v>1196</v>
      </c>
      <c r="M4" s="1903" t="s">
        <v>1185</v>
      </c>
      <c r="N4" s="1903" t="s">
        <v>1186</v>
      </c>
      <c r="O4" s="1909" t="s">
        <v>1197</v>
      </c>
      <c r="P4" s="1903" t="s">
        <v>1187</v>
      </c>
      <c r="Q4" s="1909" t="s">
        <v>1198</v>
      </c>
      <c r="R4" s="307"/>
      <c r="S4" s="307"/>
      <c r="T4" s="307"/>
      <c r="U4" s="307"/>
      <c r="V4" s="307"/>
      <c r="W4" s="307"/>
      <c r="X4" s="307"/>
    </row>
    <row r="5" spans="1:24" s="1398" customFormat="1" ht="18">
      <c r="A5" s="1456" t="s">
        <v>1199</v>
      </c>
      <c r="B5" s="1681">
        <v>33437</v>
      </c>
      <c r="C5" s="1681">
        <v>58266</v>
      </c>
      <c r="D5" s="1681">
        <v>40158</v>
      </c>
      <c r="E5" s="1682">
        <v>33234</v>
      </c>
      <c r="F5" s="1682">
        <v>17253</v>
      </c>
      <c r="G5" s="1961">
        <v>5770</v>
      </c>
      <c r="H5" s="1457">
        <f>SUM(B5:G5)</f>
        <v>188118</v>
      </c>
      <c r="I5" s="1461">
        <f>+Tabla48[[#This Row],[Total ]]/$H$37</f>
        <v>0.30288266472599873</v>
      </c>
      <c r="L5" s="1904" t="s">
        <v>1199</v>
      </c>
      <c r="M5" s="1273">
        <v>1366</v>
      </c>
      <c r="N5" s="1273">
        <v>1409</v>
      </c>
      <c r="O5" s="1910">
        <f t="shared" ref="O5:O36" si="0">SUM(M5:N5)</f>
        <v>2775</v>
      </c>
      <c r="P5" s="1273">
        <v>1607</v>
      </c>
      <c r="Q5" s="1913">
        <f>SUM(O5:P5)</f>
        <v>4382</v>
      </c>
      <c r="R5" s="307"/>
      <c r="S5" s="307"/>
      <c r="T5" s="307"/>
      <c r="U5" s="307"/>
      <c r="V5" s="307"/>
      <c r="W5" s="307"/>
      <c r="X5" s="307"/>
    </row>
    <row r="6" spans="1:24" s="1398" customFormat="1" ht="18" customHeight="1" thickBot="1">
      <c r="A6" s="1456" t="s">
        <v>1200</v>
      </c>
      <c r="B6" s="1682">
        <v>20203</v>
      </c>
      <c r="C6" s="1682">
        <v>46453</v>
      </c>
      <c r="D6" s="1682">
        <v>23834</v>
      </c>
      <c r="E6" s="1682">
        <v>15417</v>
      </c>
      <c r="F6" s="1682">
        <v>8071</v>
      </c>
      <c r="G6" s="1682">
        <v>2580</v>
      </c>
      <c r="H6" s="1457">
        <f t="shared" ref="H6:H36" si="1">SUM(B6:G6)</f>
        <v>116558</v>
      </c>
      <c r="I6" s="1461">
        <f>+Tabla48[[#This Row],[Total ]]/$H$37</f>
        <v>0.18766623946210867</v>
      </c>
      <c r="L6" s="1904" t="s">
        <v>1200</v>
      </c>
      <c r="M6" s="1273">
        <v>595</v>
      </c>
      <c r="N6" s="1273">
        <v>661</v>
      </c>
      <c r="O6" s="1910">
        <f t="shared" si="0"/>
        <v>1256</v>
      </c>
      <c r="P6" s="1273">
        <v>681</v>
      </c>
      <c r="Q6" s="1913">
        <f t="shared" ref="Q6:Q36" si="2">SUM(O6:P6)</f>
        <v>1937</v>
      </c>
      <c r="R6" s="307"/>
      <c r="S6" s="307"/>
      <c r="T6" s="307"/>
      <c r="U6" s="307"/>
      <c r="V6" s="307"/>
      <c r="W6" s="307"/>
      <c r="X6" s="307"/>
    </row>
    <row r="7" spans="1:24" s="1398" customFormat="1" ht="18.75" thickBot="1">
      <c r="A7" s="1456" t="s">
        <v>1201</v>
      </c>
      <c r="B7" s="1682">
        <v>5117</v>
      </c>
      <c r="C7" s="1682">
        <v>14923</v>
      </c>
      <c r="D7" s="1682">
        <v>15728</v>
      </c>
      <c r="E7" s="1682">
        <v>10206</v>
      </c>
      <c r="F7" s="1682">
        <v>5552</v>
      </c>
      <c r="G7" s="1682">
        <v>1823</v>
      </c>
      <c r="H7" s="1457">
        <f t="shared" si="1"/>
        <v>53349</v>
      </c>
      <c r="I7" s="1461">
        <f>+Tabla48[[#This Row],[Total ]]/$H$37</f>
        <v>8.589548730300825E-2</v>
      </c>
      <c r="K7" s="1103"/>
      <c r="L7" s="1904" t="s">
        <v>1201</v>
      </c>
      <c r="M7" s="1273">
        <v>442</v>
      </c>
      <c r="N7" s="1273">
        <v>425</v>
      </c>
      <c r="O7" s="1910">
        <f t="shared" si="0"/>
        <v>867</v>
      </c>
      <c r="P7" s="1273">
        <v>463</v>
      </c>
      <c r="Q7" s="1913">
        <f t="shared" si="2"/>
        <v>1330</v>
      </c>
      <c r="R7" s="307"/>
      <c r="S7" s="307"/>
      <c r="T7" s="307"/>
      <c r="U7" s="307"/>
      <c r="V7" s="307"/>
      <c r="W7" s="307"/>
      <c r="X7" s="307"/>
    </row>
    <row r="8" spans="1:24" s="1398" customFormat="1" ht="18.75" thickBot="1">
      <c r="A8" s="1456" t="s">
        <v>1202</v>
      </c>
      <c r="B8" s="1682">
        <v>11026</v>
      </c>
      <c r="C8" s="1682">
        <v>22123</v>
      </c>
      <c r="D8" s="1682">
        <v>9483</v>
      </c>
      <c r="E8" s="1682">
        <v>9421</v>
      </c>
      <c r="F8" s="1682">
        <v>5270</v>
      </c>
      <c r="G8" s="1682">
        <v>1714</v>
      </c>
      <c r="H8" s="1457">
        <f t="shared" si="1"/>
        <v>59037</v>
      </c>
      <c r="I8" s="1461">
        <f>+Tabla48[[#This Row],[Total ]]/$H$37</f>
        <v>9.5053550842709292E-2</v>
      </c>
      <c r="L8" s="1904" t="s">
        <v>1202</v>
      </c>
      <c r="M8" s="1273">
        <v>482</v>
      </c>
      <c r="N8" s="1273">
        <v>363</v>
      </c>
      <c r="O8" s="1910">
        <f t="shared" si="0"/>
        <v>845</v>
      </c>
      <c r="P8" s="1273">
        <v>442</v>
      </c>
      <c r="Q8" s="1913">
        <f t="shared" si="2"/>
        <v>1287</v>
      </c>
      <c r="R8" s="307"/>
      <c r="S8" s="307"/>
      <c r="T8" s="307"/>
      <c r="U8" s="307"/>
      <c r="V8" s="307"/>
      <c r="W8" s="307"/>
      <c r="X8" s="307"/>
    </row>
    <row r="9" spans="1:24" s="1398" customFormat="1" ht="18.75" thickBot="1">
      <c r="A9" s="1456" t="s">
        <v>1203</v>
      </c>
      <c r="B9" s="1682">
        <v>6715</v>
      </c>
      <c r="C9" s="1682">
        <v>13036</v>
      </c>
      <c r="D9" s="1682">
        <v>6741</v>
      </c>
      <c r="E9" s="1682">
        <v>4258</v>
      </c>
      <c r="F9" s="1682">
        <v>2399</v>
      </c>
      <c r="G9" s="1682">
        <v>780</v>
      </c>
      <c r="H9" s="1457">
        <f t="shared" si="1"/>
        <v>33929</v>
      </c>
      <c r="I9" s="1461">
        <f>+Tabla48[[#This Row],[Total ]]/$H$37</f>
        <v>5.4627977819711092E-2</v>
      </c>
      <c r="L9" s="1904" t="s">
        <v>1203</v>
      </c>
      <c r="M9" s="1273">
        <v>165</v>
      </c>
      <c r="N9" s="1273">
        <v>191</v>
      </c>
      <c r="O9" s="1910">
        <f t="shared" si="0"/>
        <v>356</v>
      </c>
      <c r="P9" s="1273">
        <v>227</v>
      </c>
      <c r="Q9" s="1913">
        <f t="shared" si="2"/>
        <v>583</v>
      </c>
    </row>
    <row r="10" spans="1:24" s="1398" customFormat="1" ht="18.75" thickBot="1">
      <c r="A10" s="1456" t="s">
        <v>1204</v>
      </c>
      <c r="B10" s="1682">
        <v>2974</v>
      </c>
      <c r="C10" s="1682">
        <v>7320</v>
      </c>
      <c r="D10" s="1682">
        <v>3922</v>
      </c>
      <c r="E10" s="1682">
        <v>2207</v>
      </c>
      <c r="F10" s="1682">
        <v>1386</v>
      </c>
      <c r="G10" s="1682">
        <v>558</v>
      </c>
      <c r="H10" s="1457">
        <f t="shared" si="1"/>
        <v>18367</v>
      </c>
      <c r="I10" s="1461">
        <f>+Tabla48[[#This Row],[Total ]]/$H$37</f>
        <v>2.9572108479903138E-2</v>
      </c>
      <c r="L10" s="1904" t="s">
        <v>1204</v>
      </c>
      <c r="M10" s="1273">
        <v>119</v>
      </c>
      <c r="N10" s="1273">
        <v>115</v>
      </c>
      <c r="O10" s="1910">
        <f t="shared" si="0"/>
        <v>234</v>
      </c>
      <c r="P10" s="1273">
        <v>200</v>
      </c>
      <c r="Q10" s="1913">
        <f t="shared" si="2"/>
        <v>434</v>
      </c>
      <c r="R10" s="307"/>
      <c r="S10" s="307"/>
      <c r="T10" s="307"/>
      <c r="U10" s="307"/>
      <c r="V10" s="307"/>
      <c r="W10" s="307"/>
      <c r="X10" s="307"/>
    </row>
    <row r="11" spans="1:24" s="1398" customFormat="1" ht="18.75" thickBot="1">
      <c r="A11" s="1456" t="s">
        <v>1205</v>
      </c>
      <c r="B11" s="1682">
        <v>4447</v>
      </c>
      <c r="C11" s="1682">
        <v>7517</v>
      </c>
      <c r="D11" s="1682">
        <v>4107</v>
      </c>
      <c r="E11" s="1682">
        <v>2973</v>
      </c>
      <c r="F11" s="1682">
        <v>1370</v>
      </c>
      <c r="G11" s="1682">
        <v>457</v>
      </c>
      <c r="H11" s="1457">
        <f t="shared" si="1"/>
        <v>20871</v>
      </c>
      <c r="I11" s="1461">
        <f>+Tabla48[[#This Row],[Total ]]/$H$37</f>
        <v>3.3603717323681517E-2</v>
      </c>
      <c r="L11" s="1904" t="s">
        <v>1205</v>
      </c>
      <c r="M11" s="1273">
        <v>141</v>
      </c>
      <c r="N11" s="1273">
        <v>92</v>
      </c>
      <c r="O11" s="1910">
        <f t="shared" si="0"/>
        <v>233</v>
      </c>
      <c r="P11" s="1273">
        <v>119</v>
      </c>
      <c r="Q11" s="1913">
        <f t="shared" si="2"/>
        <v>352</v>
      </c>
    </row>
    <row r="12" spans="1:24" s="1398" customFormat="1" ht="18.75" thickBot="1">
      <c r="A12" s="1456" t="s">
        <v>1206</v>
      </c>
      <c r="B12" s="1682">
        <v>2980</v>
      </c>
      <c r="C12" s="1682">
        <v>6390</v>
      </c>
      <c r="D12" s="1682">
        <v>3935</v>
      </c>
      <c r="E12" s="1682">
        <v>2168</v>
      </c>
      <c r="F12" s="1682">
        <v>1011</v>
      </c>
      <c r="G12" s="1682">
        <v>329</v>
      </c>
      <c r="H12" s="1457">
        <f t="shared" si="1"/>
        <v>16813</v>
      </c>
      <c r="I12" s="1461">
        <f>+Tabla48[[#This Row],[Total ]]/$H$37</f>
        <v>2.7070063694267517E-2</v>
      </c>
      <c r="L12" s="1904" t="s">
        <v>1206</v>
      </c>
      <c r="M12" s="1273">
        <v>70</v>
      </c>
      <c r="N12" s="1273">
        <v>98</v>
      </c>
      <c r="O12" s="1910">
        <f t="shared" si="0"/>
        <v>168</v>
      </c>
      <c r="P12" s="1273">
        <v>75</v>
      </c>
      <c r="Q12" s="1913">
        <f t="shared" si="2"/>
        <v>243</v>
      </c>
      <c r="R12" s="307"/>
      <c r="S12" s="307"/>
      <c r="T12" s="307"/>
      <c r="U12" s="307"/>
      <c r="V12" s="307"/>
      <c r="W12" s="307"/>
      <c r="X12" s="307"/>
    </row>
    <row r="13" spans="1:24" s="1398" customFormat="1" ht="18.75" thickBot="1">
      <c r="A13" s="1456" t="s">
        <v>1207</v>
      </c>
      <c r="B13" s="1682">
        <v>2108</v>
      </c>
      <c r="C13" s="1682">
        <v>5415</v>
      </c>
      <c r="D13" s="1682">
        <v>3384</v>
      </c>
      <c r="E13" s="1682">
        <v>1897</v>
      </c>
      <c r="F13" s="1682">
        <v>1005</v>
      </c>
      <c r="G13" s="1682">
        <v>351</v>
      </c>
      <c r="H13" s="1457">
        <f t="shared" si="1"/>
        <v>14160</v>
      </c>
      <c r="I13" s="1461">
        <f>+Tabla48[[#This Row],[Total ]]/$H$37</f>
        <v>2.279855480347517E-2</v>
      </c>
      <c r="L13" s="1904" t="s">
        <v>1207</v>
      </c>
      <c r="M13" s="1273">
        <v>87</v>
      </c>
      <c r="N13" s="1273">
        <v>78</v>
      </c>
      <c r="O13" s="1910">
        <f t="shared" si="0"/>
        <v>165</v>
      </c>
      <c r="P13" s="1273">
        <v>103</v>
      </c>
      <c r="Q13" s="1913">
        <f t="shared" si="2"/>
        <v>268</v>
      </c>
    </row>
    <row r="14" spans="1:24" s="1398" customFormat="1" ht="18.75" thickBot="1">
      <c r="A14" s="1456" t="s">
        <v>1208</v>
      </c>
      <c r="B14" s="1682">
        <v>1283</v>
      </c>
      <c r="C14" s="1682">
        <v>3599</v>
      </c>
      <c r="D14" s="1682">
        <v>2768</v>
      </c>
      <c r="E14" s="1682">
        <v>1550</v>
      </c>
      <c r="F14" s="1682">
        <v>885</v>
      </c>
      <c r="G14" s="1682">
        <v>263</v>
      </c>
      <c r="H14" s="1457">
        <f t="shared" si="1"/>
        <v>10348</v>
      </c>
      <c r="I14" s="1461">
        <f>+Tabla48[[#This Row],[Total ]]/$H$37</f>
        <v>1.6660977761748661E-2</v>
      </c>
      <c r="L14" s="1904" t="s">
        <v>1208</v>
      </c>
      <c r="M14" s="1273">
        <v>81</v>
      </c>
      <c r="N14" s="1273">
        <v>55</v>
      </c>
      <c r="O14" s="1910">
        <f t="shared" si="0"/>
        <v>136</v>
      </c>
      <c r="P14" s="1273">
        <v>70</v>
      </c>
      <c r="Q14" s="1913">
        <f t="shared" si="2"/>
        <v>206</v>
      </c>
      <c r="R14" s="372"/>
      <c r="S14" s="372"/>
      <c r="T14" s="372"/>
      <c r="U14" s="372"/>
      <c r="V14" s="372"/>
      <c r="W14" s="372"/>
      <c r="X14" s="372"/>
    </row>
    <row r="15" spans="1:24" s="1398" customFormat="1" ht="18.75" thickBot="1">
      <c r="A15" s="1456" t="s">
        <v>1209</v>
      </c>
      <c r="B15" s="1682">
        <v>1094</v>
      </c>
      <c r="C15" s="1682">
        <v>4715</v>
      </c>
      <c r="D15" s="1682">
        <v>2899</v>
      </c>
      <c r="E15" s="1682">
        <v>2106</v>
      </c>
      <c r="F15" s="1682">
        <v>774</v>
      </c>
      <c r="G15" s="1682">
        <v>273</v>
      </c>
      <c r="H15" s="1457">
        <f t="shared" si="1"/>
        <v>11861</v>
      </c>
      <c r="I15" s="1461">
        <f>+Tabla48[[#This Row],[Total ]]/$H$37</f>
        <v>1.9097009782769701E-2</v>
      </c>
      <c r="L15" s="1904" t="s">
        <v>1209</v>
      </c>
      <c r="M15" s="1273">
        <v>72</v>
      </c>
      <c r="N15" s="1273">
        <v>64</v>
      </c>
      <c r="O15" s="1910">
        <f t="shared" si="0"/>
        <v>136</v>
      </c>
      <c r="P15" s="1273">
        <v>80</v>
      </c>
      <c r="Q15" s="1913">
        <f t="shared" si="2"/>
        <v>216</v>
      </c>
      <c r="R15" s="1103"/>
      <c r="S15" s="1103"/>
      <c r="T15" s="1103"/>
      <c r="U15" s="1103"/>
      <c r="V15" s="1103"/>
      <c r="W15" s="1103"/>
      <c r="X15" s="1103"/>
    </row>
    <row r="16" spans="1:24" s="1398" customFormat="1" ht="18.75" thickBot="1">
      <c r="A16" s="1456" t="s">
        <v>1210</v>
      </c>
      <c r="B16" s="1682">
        <v>958</v>
      </c>
      <c r="C16" s="1682">
        <v>4489</v>
      </c>
      <c r="D16" s="1682">
        <v>2957</v>
      </c>
      <c r="E16" s="1682">
        <v>1458</v>
      </c>
      <c r="F16" s="1682">
        <v>717</v>
      </c>
      <c r="G16" s="1682">
        <v>262</v>
      </c>
      <c r="H16" s="1457">
        <f t="shared" si="1"/>
        <v>10841</v>
      </c>
      <c r="I16" s="1461">
        <f>+Tabla48[[#This Row],[Total ]]/$H$37</f>
        <v>1.745474100455327E-2</v>
      </c>
      <c r="L16" s="1904" t="s">
        <v>1210</v>
      </c>
      <c r="M16" s="1273">
        <v>55</v>
      </c>
      <c r="N16" s="1273">
        <v>63</v>
      </c>
      <c r="O16" s="1910">
        <f t="shared" si="0"/>
        <v>118</v>
      </c>
      <c r="P16" s="1273">
        <v>72</v>
      </c>
      <c r="Q16" s="1913">
        <f t="shared" si="2"/>
        <v>190</v>
      </c>
      <c r="R16" s="307"/>
      <c r="S16" s="307"/>
      <c r="T16" s="307"/>
      <c r="U16" s="307"/>
      <c r="V16" s="307"/>
      <c r="W16" s="307"/>
      <c r="X16" s="307"/>
    </row>
    <row r="17" spans="1:24" s="1398" customFormat="1" ht="18.75" thickBot="1">
      <c r="A17" s="1456" t="s">
        <v>1211</v>
      </c>
      <c r="B17" s="1682">
        <v>1301</v>
      </c>
      <c r="C17" s="1682">
        <v>2649</v>
      </c>
      <c r="D17" s="1682">
        <v>1828</v>
      </c>
      <c r="E17" s="1682">
        <v>1134</v>
      </c>
      <c r="F17" s="1682">
        <v>566</v>
      </c>
      <c r="G17" s="1682">
        <v>199</v>
      </c>
      <c r="H17" s="1457">
        <f t="shared" si="1"/>
        <v>7677</v>
      </c>
      <c r="I17" s="1461">
        <f>+Tabla48[[#This Row],[Total ]]/$H$37</f>
        <v>1.2360487657223085E-2</v>
      </c>
      <c r="L17" s="1904" t="s">
        <v>1211</v>
      </c>
      <c r="M17" s="1273">
        <v>40</v>
      </c>
      <c r="N17" s="1273">
        <v>49</v>
      </c>
      <c r="O17" s="1910">
        <f t="shared" si="0"/>
        <v>89</v>
      </c>
      <c r="P17" s="1273">
        <v>64</v>
      </c>
      <c r="Q17" s="1913">
        <f t="shared" si="2"/>
        <v>153</v>
      </c>
      <c r="R17" s="307"/>
      <c r="S17" s="307"/>
      <c r="T17" s="307"/>
      <c r="U17" s="307"/>
      <c r="V17" s="307"/>
      <c r="W17" s="307"/>
      <c r="X17" s="307"/>
    </row>
    <row r="18" spans="1:24" s="1398" customFormat="1" ht="18.75" thickBot="1">
      <c r="A18" s="1456" t="s">
        <v>1212</v>
      </c>
      <c r="B18" s="1682">
        <v>863</v>
      </c>
      <c r="C18" s="1682">
        <v>2160</v>
      </c>
      <c r="D18" s="1682">
        <v>2251</v>
      </c>
      <c r="E18" s="1682">
        <v>635</v>
      </c>
      <c r="F18" s="1682">
        <v>397</v>
      </c>
      <c r="G18" s="1682">
        <v>152</v>
      </c>
      <c r="H18" s="1457">
        <f t="shared" si="1"/>
        <v>6458</v>
      </c>
      <c r="I18" s="1461">
        <f>+Tabla48[[#This Row],[Total ]]/$H$37</f>
        <v>1.0397815460511486E-2</v>
      </c>
      <c r="L18" s="1904" t="s">
        <v>1212</v>
      </c>
      <c r="M18" s="1273">
        <v>38</v>
      </c>
      <c r="N18" s="1273">
        <v>35</v>
      </c>
      <c r="O18" s="1910">
        <f t="shared" si="0"/>
        <v>73</v>
      </c>
      <c r="P18" s="1273">
        <v>40</v>
      </c>
      <c r="Q18" s="1913">
        <f t="shared" si="2"/>
        <v>113</v>
      </c>
      <c r="R18" s="307"/>
      <c r="S18" s="307"/>
      <c r="T18" s="307"/>
      <c r="U18" s="307"/>
      <c r="V18" s="307"/>
      <c r="W18" s="307"/>
      <c r="X18" s="307"/>
    </row>
    <row r="19" spans="1:24" s="1398" customFormat="1" ht="18.75" thickBot="1">
      <c r="A19" s="1456" t="s">
        <v>1213</v>
      </c>
      <c r="B19" s="1682">
        <v>739</v>
      </c>
      <c r="C19" s="1682">
        <v>1782</v>
      </c>
      <c r="D19" s="1682">
        <v>1426</v>
      </c>
      <c r="E19" s="1682">
        <v>1101</v>
      </c>
      <c r="F19" s="1682">
        <v>437</v>
      </c>
      <c r="G19" s="1682">
        <v>133</v>
      </c>
      <c r="H19" s="1457">
        <f t="shared" si="1"/>
        <v>5618</v>
      </c>
      <c r="I19" s="1461">
        <f>+Tabla48[[#This Row],[Total ]]/$H$37</f>
        <v>9.0453588196273658E-3</v>
      </c>
      <c r="L19" s="1904" t="s">
        <v>1214</v>
      </c>
      <c r="M19" s="1273">
        <v>29</v>
      </c>
      <c r="N19" s="1273">
        <v>31</v>
      </c>
      <c r="O19" s="1910">
        <f t="shared" si="0"/>
        <v>60</v>
      </c>
      <c r="P19" s="1273">
        <v>31</v>
      </c>
      <c r="Q19" s="1913">
        <f t="shared" si="2"/>
        <v>91</v>
      </c>
      <c r="R19" s="307"/>
      <c r="S19" s="307"/>
      <c r="T19" s="307"/>
      <c r="U19" s="307"/>
      <c r="V19" s="307"/>
      <c r="W19" s="307"/>
      <c r="X19" s="307"/>
    </row>
    <row r="20" spans="1:24" s="1398" customFormat="1" ht="18.75" thickBot="1">
      <c r="A20" s="1456" t="s">
        <v>1214</v>
      </c>
      <c r="B20" s="1682">
        <v>615</v>
      </c>
      <c r="C20" s="1682">
        <v>2767</v>
      </c>
      <c r="D20" s="1682">
        <v>1274</v>
      </c>
      <c r="E20" s="1682">
        <v>648</v>
      </c>
      <c r="F20" s="1682">
        <v>371</v>
      </c>
      <c r="G20" s="1682">
        <v>130</v>
      </c>
      <c r="H20" s="1457">
        <f t="shared" si="1"/>
        <v>5805</v>
      </c>
      <c r="I20" s="1461">
        <f>+Tabla48[[#This Row],[Total ]]/$H$37</f>
        <v>9.3464414289670446E-3</v>
      </c>
      <c r="L20" s="1904" t="s">
        <v>1215</v>
      </c>
      <c r="M20" s="1273">
        <v>33</v>
      </c>
      <c r="N20" s="1273">
        <v>26</v>
      </c>
      <c r="O20" s="1910">
        <f t="shared" si="0"/>
        <v>59</v>
      </c>
      <c r="P20" s="1273">
        <v>40</v>
      </c>
      <c r="Q20" s="1913">
        <f t="shared" si="2"/>
        <v>99</v>
      </c>
      <c r="R20" s="307"/>
      <c r="S20" s="307"/>
      <c r="T20" s="307"/>
      <c r="U20" s="307"/>
      <c r="V20" s="307"/>
      <c r="W20" s="307"/>
      <c r="X20" s="307"/>
    </row>
    <row r="21" spans="1:24" s="1398" customFormat="1" ht="18.75" thickBot="1">
      <c r="A21" s="1456" t="s">
        <v>1215</v>
      </c>
      <c r="B21" s="1682">
        <v>680</v>
      </c>
      <c r="C21" s="1682">
        <v>1698</v>
      </c>
      <c r="D21" s="1682">
        <v>745</v>
      </c>
      <c r="E21" s="1682">
        <v>820</v>
      </c>
      <c r="F21" s="1682">
        <v>334</v>
      </c>
      <c r="G21" s="1682">
        <v>122</v>
      </c>
      <c r="H21" s="1457">
        <f t="shared" si="1"/>
        <v>4399</v>
      </c>
      <c r="I21" s="1461">
        <f>+Tabla48[[#This Row],[Total ]]/$H$37</f>
        <v>7.0826866229157679E-3</v>
      </c>
      <c r="L21" s="1904" t="s">
        <v>1213</v>
      </c>
      <c r="M21" s="1273">
        <v>28</v>
      </c>
      <c r="N21" s="1273">
        <v>29</v>
      </c>
      <c r="O21" s="1910">
        <f t="shared" si="0"/>
        <v>57</v>
      </c>
      <c r="P21" s="1273">
        <v>45</v>
      </c>
      <c r="Q21" s="1913">
        <f t="shared" si="2"/>
        <v>102</v>
      </c>
      <c r="R21" s="307"/>
      <c r="S21" s="307"/>
      <c r="T21" s="307"/>
      <c r="U21" s="307"/>
      <c r="V21" s="307"/>
      <c r="W21" s="307"/>
      <c r="X21" s="307"/>
    </row>
    <row r="22" spans="1:24" s="1398" customFormat="1" ht="18.75" thickBot="1">
      <c r="A22" s="1456" t="s">
        <v>1216</v>
      </c>
      <c r="B22" s="1682">
        <v>326</v>
      </c>
      <c r="C22" s="1682">
        <v>1234</v>
      </c>
      <c r="D22" s="1682">
        <v>781</v>
      </c>
      <c r="E22" s="1682">
        <v>552</v>
      </c>
      <c r="F22" s="1682">
        <v>273</v>
      </c>
      <c r="G22" s="1682">
        <v>99</v>
      </c>
      <c r="H22" s="1457">
        <f t="shared" si="1"/>
        <v>3265</v>
      </c>
      <c r="I22" s="1461">
        <f>+Tabla48[[#This Row],[Total ]]/$H$37</f>
        <v>5.2568701577222054E-3</v>
      </c>
      <c r="L22" s="1904" t="s">
        <v>1217</v>
      </c>
      <c r="M22" s="1273">
        <v>22</v>
      </c>
      <c r="N22" s="1273">
        <v>27</v>
      </c>
      <c r="O22" s="1910">
        <f t="shared" si="0"/>
        <v>49</v>
      </c>
      <c r="P22" s="1273">
        <v>20</v>
      </c>
      <c r="Q22" s="1913">
        <f t="shared" si="2"/>
        <v>69</v>
      </c>
      <c r="R22" s="307"/>
      <c r="S22" s="307"/>
      <c r="T22" s="307"/>
      <c r="U22" s="307"/>
      <c r="V22" s="307"/>
      <c r="W22" s="307"/>
      <c r="X22" s="307"/>
    </row>
    <row r="23" spans="1:24" ht="18.75" thickBot="1">
      <c r="A23" s="1456" t="s">
        <v>1218</v>
      </c>
      <c r="B23" s="1682">
        <v>199</v>
      </c>
      <c r="C23" s="1682">
        <v>1333</v>
      </c>
      <c r="D23" s="1682">
        <v>915</v>
      </c>
      <c r="E23" s="1682">
        <v>345</v>
      </c>
      <c r="F23" s="1682">
        <v>286</v>
      </c>
      <c r="G23" s="1682">
        <v>95</v>
      </c>
      <c r="H23" s="1457">
        <f t="shared" si="1"/>
        <v>3173</v>
      </c>
      <c r="I23" s="1461">
        <f>+Tabla48[[#This Row],[Total ]]/$H$37</f>
        <v>5.1087439541968021E-3</v>
      </c>
      <c r="L23" s="1904" t="s">
        <v>1218</v>
      </c>
      <c r="M23" s="1273">
        <v>19</v>
      </c>
      <c r="N23" s="1273">
        <v>26</v>
      </c>
      <c r="O23" s="1910">
        <f t="shared" si="0"/>
        <v>45</v>
      </c>
      <c r="P23" s="1273">
        <v>27</v>
      </c>
      <c r="Q23" s="1913">
        <f t="shared" si="2"/>
        <v>72</v>
      </c>
    </row>
    <row r="24" spans="1:24" ht="18.75" thickBot="1">
      <c r="A24" s="1456" t="s">
        <v>1219</v>
      </c>
      <c r="B24" s="1682">
        <v>359</v>
      </c>
      <c r="C24" s="1682">
        <v>1895</v>
      </c>
      <c r="D24" s="1682">
        <v>882</v>
      </c>
      <c r="E24" s="1682">
        <v>569</v>
      </c>
      <c r="F24" s="1682">
        <v>253</v>
      </c>
      <c r="G24" s="1682">
        <v>57</v>
      </c>
      <c r="H24" s="1457">
        <f t="shared" si="1"/>
        <v>4015</v>
      </c>
      <c r="I24" s="1461">
        <f>+Tabla48[[#This Row],[Total ]]/$H$37</f>
        <v>6.4644207299401702E-3</v>
      </c>
      <c r="L24" s="1904" t="s">
        <v>1220</v>
      </c>
      <c r="M24" s="1273">
        <v>25</v>
      </c>
      <c r="N24" s="1273">
        <v>19</v>
      </c>
      <c r="O24" s="1910">
        <f t="shared" si="0"/>
        <v>44</v>
      </c>
      <c r="P24" s="1273">
        <v>28</v>
      </c>
      <c r="Q24" s="1913">
        <f t="shared" si="2"/>
        <v>72</v>
      </c>
    </row>
    <row r="25" spans="1:24" ht="18.75" thickBot="1">
      <c r="A25" s="1456" t="s">
        <v>1221</v>
      </c>
      <c r="B25" s="1682">
        <v>274</v>
      </c>
      <c r="C25" s="1682">
        <v>1269</v>
      </c>
      <c r="D25" s="1682">
        <v>804</v>
      </c>
      <c r="E25" s="1682">
        <v>420</v>
      </c>
      <c r="F25" s="1682">
        <v>226</v>
      </c>
      <c r="G25" s="1682">
        <v>78</v>
      </c>
      <c r="H25" s="1457">
        <f t="shared" si="1"/>
        <v>3071</v>
      </c>
      <c r="I25" s="1461">
        <f>+Tabla48[[#This Row],[Total ]]/$H$37</f>
        <v>4.9445170763751586E-3</v>
      </c>
      <c r="L25" s="1904" t="s">
        <v>1216</v>
      </c>
      <c r="M25" s="1273">
        <v>15</v>
      </c>
      <c r="N25" s="1273">
        <v>28</v>
      </c>
      <c r="O25" s="1910">
        <f t="shared" si="0"/>
        <v>43</v>
      </c>
      <c r="P25" s="1273">
        <v>30</v>
      </c>
      <c r="Q25" s="1913">
        <f t="shared" si="2"/>
        <v>73</v>
      </c>
    </row>
    <row r="26" spans="1:24" ht="18.75" thickBot="1">
      <c r="A26" s="1456" t="s">
        <v>1220</v>
      </c>
      <c r="B26" s="1682">
        <v>503</v>
      </c>
      <c r="C26" s="1682">
        <v>1145</v>
      </c>
      <c r="D26" s="1682">
        <v>989</v>
      </c>
      <c r="E26" s="1682">
        <v>562</v>
      </c>
      <c r="F26" s="1682">
        <v>235</v>
      </c>
      <c r="G26" s="1682">
        <v>91</v>
      </c>
      <c r="H26" s="1457">
        <f t="shared" si="1"/>
        <v>3525</v>
      </c>
      <c r="I26" s="1461">
        <f>+Tabla48[[#This Row],[Total ]]/$H$37</f>
        <v>5.6754876894244332E-3</v>
      </c>
      <c r="L26" s="1904" t="s">
        <v>1222</v>
      </c>
      <c r="M26" s="1273">
        <v>20</v>
      </c>
      <c r="N26" s="1273">
        <v>19</v>
      </c>
      <c r="O26" s="1910">
        <f t="shared" si="0"/>
        <v>39</v>
      </c>
      <c r="P26" s="1273">
        <v>32</v>
      </c>
      <c r="Q26" s="1913">
        <f t="shared" si="2"/>
        <v>71</v>
      </c>
    </row>
    <row r="27" spans="1:24" ht="18.75" thickBot="1">
      <c r="A27" s="1456" t="s">
        <v>1222</v>
      </c>
      <c r="B27" s="1682">
        <v>447</v>
      </c>
      <c r="C27" s="1682">
        <v>906</v>
      </c>
      <c r="D27" s="1682">
        <v>679</v>
      </c>
      <c r="E27" s="1682">
        <v>539</v>
      </c>
      <c r="F27" s="1682">
        <v>223</v>
      </c>
      <c r="G27" s="1682">
        <v>92</v>
      </c>
      <c r="H27" s="1457">
        <f t="shared" si="1"/>
        <v>2886</v>
      </c>
      <c r="I27" s="1461">
        <f>+Tabla48[[#This Row],[Total ]]/$H$37</f>
        <v>4.6466546018947277E-3</v>
      </c>
      <c r="L27" s="1904" t="s">
        <v>1221</v>
      </c>
      <c r="M27" s="1273">
        <v>15</v>
      </c>
      <c r="N27" s="1273">
        <v>20</v>
      </c>
      <c r="O27" s="1910">
        <f t="shared" si="0"/>
        <v>35</v>
      </c>
      <c r="P27" s="1273">
        <v>27</v>
      </c>
      <c r="Q27" s="1913">
        <f t="shared" si="2"/>
        <v>62</v>
      </c>
    </row>
    <row r="28" spans="1:24" ht="18.75" thickBot="1">
      <c r="A28" s="1456" t="s">
        <v>1217</v>
      </c>
      <c r="B28" s="1682">
        <v>286</v>
      </c>
      <c r="C28" s="1682">
        <v>1136</v>
      </c>
      <c r="D28" s="1682">
        <v>651</v>
      </c>
      <c r="E28" s="1682">
        <v>514</v>
      </c>
      <c r="F28" s="1682">
        <v>211</v>
      </c>
      <c r="G28" s="1682">
        <v>81</v>
      </c>
      <c r="H28" s="1457">
        <f t="shared" si="1"/>
        <v>2879</v>
      </c>
      <c r="I28" s="1461">
        <f>+Tabla48[[#This Row],[Total ]]/$H$37</f>
        <v>4.6353841298873598E-3</v>
      </c>
      <c r="L28" s="1904" t="s">
        <v>1223</v>
      </c>
      <c r="M28" s="1273">
        <v>20</v>
      </c>
      <c r="N28" s="1273">
        <v>10</v>
      </c>
      <c r="O28" s="1910">
        <f t="shared" si="0"/>
        <v>30</v>
      </c>
      <c r="P28" s="1273">
        <v>35</v>
      </c>
      <c r="Q28" s="1913">
        <f t="shared" si="2"/>
        <v>65</v>
      </c>
    </row>
    <row r="29" spans="1:24" ht="18.75" thickBot="1">
      <c r="A29" s="1456" t="s">
        <v>1224</v>
      </c>
      <c r="B29" s="1682">
        <v>576</v>
      </c>
      <c r="C29" s="1682">
        <v>1581</v>
      </c>
      <c r="D29" s="1682">
        <v>1100</v>
      </c>
      <c r="E29" s="1682">
        <v>495</v>
      </c>
      <c r="F29" s="1682">
        <v>184</v>
      </c>
      <c r="G29" s="1682">
        <v>48</v>
      </c>
      <c r="H29" s="1457">
        <f t="shared" si="1"/>
        <v>3984</v>
      </c>
      <c r="I29" s="1461">
        <f>+Tabla48[[#This Row],[Total ]]/$H$37</f>
        <v>6.414508639621827E-3</v>
      </c>
      <c r="L29" s="1904" t="s">
        <v>1219</v>
      </c>
      <c r="M29" s="1273">
        <v>10</v>
      </c>
      <c r="N29" s="1273">
        <v>17</v>
      </c>
      <c r="O29" s="1910">
        <f t="shared" si="0"/>
        <v>27</v>
      </c>
      <c r="P29" s="1273">
        <v>20</v>
      </c>
      <c r="Q29" s="1913">
        <f t="shared" si="2"/>
        <v>47</v>
      </c>
    </row>
    <row r="30" spans="1:24" ht="18.75" thickBot="1">
      <c r="A30" s="1456" t="s">
        <v>1223</v>
      </c>
      <c r="B30" s="1682">
        <v>514</v>
      </c>
      <c r="C30" s="1682">
        <v>1447</v>
      </c>
      <c r="D30" s="1682">
        <v>538</v>
      </c>
      <c r="E30" s="1682">
        <v>438</v>
      </c>
      <c r="F30" s="1682">
        <v>194</v>
      </c>
      <c r="G30" s="1682">
        <v>82</v>
      </c>
      <c r="H30" s="1457">
        <f t="shared" si="1"/>
        <v>3213</v>
      </c>
      <c r="I30" s="1461">
        <f>+Tabla48[[#This Row],[Total ]]/$H$37</f>
        <v>5.1731466513817602E-3</v>
      </c>
      <c r="L30" s="1904" t="s">
        <v>1224</v>
      </c>
      <c r="M30" s="1273">
        <v>7</v>
      </c>
      <c r="N30" s="1273">
        <v>12</v>
      </c>
      <c r="O30" s="1910">
        <f t="shared" si="0"/>
        <v>19</v>
      </c>
      <c r="P30" s="1273">
        <v>14</v>
      </c>
      <c r="Q30" s="1914">
        <f t="shared" si="2"/>
        <v>33</v>
      </c>
    </row>
    <row r="31" spans="1:24" ht="18.75" thickBot="1">
      <c r="A31" s="1456" t="s">
        <v>1225</v>
      </c>
      <c r="B31" s="1682">
        <v>97</v>
      </c>
      <c r="C31" s="1682">
        <v>506</v>
      </c>
      <c r="D31" s="1682">
        <v>327</v>
      </c>
      <c r="E31" s="1682">
        <v>180</v>
      </c>
      <c r="F31" s="1682">
        <v>74</v>
      </c>
      <c r="G31" s="1682">
        <v>30</v>
      </c>
      <c r="H31" s="1457">
        <f t="shared" si="1"/>
        <v>1214</v>
      </c>
      <c r="I31" s="1461">
        <f>+Tabla48[[#This Row],[Total ]]/$H$37</f>
        <v>1.9546218595634787E-3</v>
      </c>
      <c r="L31" s="1904" t="s">
        <v>1226</v>
      </c>
      <c r="M31" s="1273">
        <v>5</v>
      </c>
      <c r="N31" s="1273">
        <v>7</v>
      </c>
      <c r="O31" s="1910">
        <f t="shared" si="0"/>
        <v>12</v>
      </c>
      <c r="P31" s="1273">
        <v>6</v>
      </c>
      <c r="Q31" s="1914">
        <f t="shared" si="2"/>
        <v>18</v>
      </c>
    </row>
    <row r="32" spans="1:24" ht="18.75" thickBot="1">
      <c r="A32" s="1456" t="s">
        <v>1226</v>
      </c>
      <c r="B32" s="1682">
        <v>164</v>
      </c>
      <c r="C32" s="1682">
        <v>840</v>
      </c>
      <c r="D32" s="1682">
        <v>700</v>
      </c>
      <c r="E32" s="1682">
        <v>139</v>
      </c>
      <c r="F32" s="1682">
        <v>66</v>
      </c>
      <c r="G32" s="1682">
        <v>30</v>
      </c>
      <c r="H32" s="1457">
        <f t="shared" si="1"/>
        <v>1939</v>
      </c>
      <c r="I32" s="1461">
        <f>+Tabla48[[#This Row],[Total ]]/$H$37</f>
        <v>3.1219207460408444E-3</v>
      </c>
      <c r="L32" s="1904" t="s">
        <v>1227</v>
      </c>
      <c r="M32" s="1273">
        <v>2</v>
      </c>
      <c r="N32" s="1273">
        <v>9</v>
      </c>
      <c r="O32" s="1910">
        <f t="shared" si="0"/>
        <v>11</v>
      </c>
      <c r="P32" s="1273">
        <v>4</v>
      </c>
      <c r="Q32" s="1913">
        <f t="shared" si="2"/>
        <v>15</v>
      </c>
    </row>
    <row r="33" spans="1:24" ht="18.75" thickBot="1">
      <c r="A33" s="1456" t="s">
        <v>1228</v>
      </c>
      <c r="B33" s="1682">
        <v>9</v>
      </c>
      <c r="C33" s="1682">
        <v>78</v>
      </c>
      <c r="D33" s="1682">
        <v>251</v>
      </c>
      <c r="E33" s="1682">
        <v>126</v>
      </c>
      <c r="F33" s="1682">
        <v>64</v>
      </c>
      <c r="G33" s="1682">
        <v>21</v>
      </c>
      <c r="H33" s="1457">
        <f t="shared" si="1"/>
        <v>549</v>
      </c>
      <c r="I33" s="1461">
        <f>+Tabla48[[#This Row],[Total ]]/$H$37</f>
        <v>8.8392701886355E-4</v>
      </c>
      <c r="L33" s="1904" t="s">
        <v>1225</v>
      </c>
      <c r="M33" s="1273">
        <v>5</v>
      </c>
      <c r="N33" s="1273">
        <v>5</v>
      </c>
      <c r="O33" s="1910">
        <f t="shared" si="0"/>
        <v>10</v>
      </c>
      <c r="P33" s="1273">
        <v>11</v>
      </c>
      <c r="Q33" s="1913">
        <f t="shared" si="2"/>
        <v>21</v>
      </c>
    </row>
    <row r="34" spans="1:24" ht="18.75" thickBot="1">
      <c r="A34" s="1456" t="s">
        <v>1227</v>
      </c>
      <c r="B34" s="1682">
        <v>394</v>
      </c>
      <c r="C34" s="1682">
        <v>502</v>
      </c>
      <c r="D34" s="1682">
        <v>384</v>
      </c>
      <c r="E34" s="1682">
        <v>130</v>
      </c>
      <c r="F34" s="1682">
        <v>59</v>
      </c>
      <c r="G34" s="1682">
        <v>18</v>
      </c>
      <c r="H34" s="1457">
        <f t="shared" si="1"/>
        <v>1487</v>
      </c>
      <c r="I34" s="1461">
        <f>+Tabla48[[#This Row],[Total ]]/$H$37</f>
        <v>2.3941702678508176E-3</v>
      </c>
      <c r="L34" s="1904" t="s">
        <v>1228</v>
      </c>
      <c r="M34" s="1273">
        <v>4</v>
      </c>
      <c r="N34" s="1273">
        <v>6</v>
      </c>
      <c r="O34" s="1910">
        <f t="shared" si="0"/>
        <v>10</v>
      </c>
      <c r="P34" s="1273">
        <v>6</v>
      </c>
      <c r="Q34" s="1913">
        <f t="shared" si="2"/>
        <v>16</v>
      </c>
    </row>
    <row r="35" spans="1:24" ht="18.75" thickBot="1">
      <c r="A35" s="1458" t="s">
        <v>1229</v>
      </c>
      <c r="B35" s="1683">
        <v>134</v>
      </c>
      <c r="C35" s="1683">
        <v>486</v>
      </c>
      <c r="D35" s="1683">
        <v>168</v>
      </c>
      <c r="E35" s="1683">
        <v>100</v>
      </c>
      <c r="F35" s="1683">
        <v>47</v>
      </c>
      <c r="G35" s="1682">
        <v>19</v>
      </c>
      <c r="H35" s="1459">
        <f t="shared" si="1"/>
        <v>954</v>
      </c>
      <c r="I35" s="1461">
        <f>+Tabla48[[#This Row],[Total ]]/$H$37</f>
        <v>1.5360043278612508E-3</v>
      </c>
      <c r="J35" s="1398"/>
      <c r="L35" s="1904" t="s">
        <v>1229</v>
      </c>
      <c r="M35" s="1273">
        <v>4</v>
      </c>
      <c r="N35" s="1273">
        <v>4</v>
      </c>
      <c r="O35" s="1910">
        <f t="shared" si="0"/>
        <v>8</v>
      </c>
      <c r="P35" s="1273">
        <v>7</v>
      </c>
      <c r="Q35" s="1913">
        <f t="shared" si="2"/>
        <v>15</v>
      </c>
    </row>
    <row r="36" spans="1:24" ht="18">
      <c r="A36" s="1458" t="s">
        <v>1230</v>
      </c>
      <c r="B36" s="1683">
        <v>123</v>
      </c>
      <c r="C36" s="1683">
        <v>371</v>
      </c>
      <c r="D36" s="1683">
        <v>134</v>
      </c>
      <c r="E36" s="1683">
        <v>50</v>
      </c>
      <c r="F36" s="1683">
        <v>39</v>
      </c>
      <c r="G36" s="1682">
        <v>12</v>
      </c>
      <c r="H36" s="1459">
        <f t="shared" si="1"/>
        <v>729</v>
      </c>
      <c r="I36" s="1461">
        <f>+Tabla48[[#This Row],[Total ]]/$H$37</f>
        <v>1.1737391561958614E-3</v>
      </c>
      <c r="L36" s="1905" t="s">
        <v>1230</v>
      </c>
      <c r="M36" s="1906">
        <v>2</v>
      </c>
      <c r="N36" s="1906">
        <v>3</v>
      </c>
      <c r="O36" s="1911">
        <f t="shared" si="0"/>
        <v>5</v>
      </c>
      <c r="P36" s="1906">
        <v>5</v>
      </c>
      <c r="Q36" s="1913">
        <f t="shared" si="2"/>
        <v>10</v>
      </c>
    </row>
    <row r="37" spans="1:24" ht="18">
      <c r="A37" s="1679" t="s">
        <v>809</v>
      </c>
      <c r="B37" s="1684">
        <f t="shared" ref="B37:I37" si="3">SUM(B5:B36)</f>
        <v>100945</v>
      </c>
      <c r="C37" s="1684">
        <f t="shared" si="3"/>
        <v>220031</v>
      </c>
      <c r="D37" s="1684">
        <f t="shared" si="3"/>
        <v>136743</v>
      </c>
      <c r="E37" s="1684">
        <f t="shared" si="3"/>
        <v>96392</v>
      </c>
      <c r="F37" s="1684">
        <f t="shared" si="3"/>
        <v>50232</v>
      </c>
      <c r="G37" s="1684">
        <f>SUM(G5:G36)</f>
        <v>16749</v>
      </c>
      <c r="H37" s="1684">
        <f t="shared" si="3"/>
        <v>621092</v>
      </c>
      <c r="I37" s="1680">
        <f t="shared" si="3"/>
        <v>0.99999999999999989</v>
      </c>
    </row>
    <row r="39" spans="1:24" s="1398" customFormat="1">
      <c r="A39" s="307"/>
      <c r="B39" s="1374"/>
      <c r="C39" s="1374"/>
      <c r="D39" s="1374"/>
      <c r="E39" s="1374"/>
      <c r="F39" s="1374"/>
      <c r="G39" s="1374"/>
      <c r="H39" s="337"/>
      <c r="I39" s="1376"/>
      <c r="J39" s="307"/>
      <c r="L39" s="307"/>
      <c r="M39" s="307"/>
      <c r="N39" s="307"/>
      <c r="O39" s="1907"/>
      <c r="P39" s="307"/>
      <c r="Q39" s="1913"/>
      <c r="R39" s="307"/>
      <c r="S39" s="307"/>
      <c r="T39" s="307"/>
      <c r="U39" s="307"/>
      <c r="V39" s="307"/>
      <c r="W39" s="307"/>
      <c r="X39" s="307"/>
    </row>
    <row r="40" spans="1:24">
      <c r="J40" s="1398"/>
    </row>
    <row r="42" spans="1:24">
      <c r="J42" s="1398"/>
    </row>
    <row r="43" spans="1:24">
      <c r="A43" s="1398"/>
      <c r="B43" s="1399"/>
      <c r="C43" s="1399"/>
      <c r="D43" s="1399"/>
      <c r="E43" s="1399"/>
      <c r="F43" s="1399"/>
      <c r="G43" s="1399"/>
      <c r="H43" s="1400"/>
      <c r="I43" s="1462"/>
    </row>
    <row r="44" spans="1:24">
      <c r="J44" s="1398"/>
    </row>
    <row r="45" spans="1:24">
      <c r="A45" s="1398"/>
      <c r="B45" s="1399"/>
      <c r="C45" s="1399"/>
      <c r="D45" s="1399"/>
      <c r="E45" s="1399"/>
      <c r="F45" s="1399"/>
      <c r="G45" s="1399"/>
      <c r="H45" s="1400"/>
      <c r="I45" s="1462"/>
      <c r="J45" s="372"/>
    </row>
    <row r="46" spans="1:24">
      <c r="J46" s="1103"/>
    </row>
    <row r="47" spans="1:24">
      <c r="A47" s="1398"/>
      <c r="B47" s="1399"/>
      <c r="C47" s="1399"/>
      <c r="D47" s="1399"/>
      <c r="E47" s="1399"/>
      <c r="F47" s="1399"/>
      <c r="G47" s="1399"/>
      <c r="H47" s="1400"/>
      <c r="I47" s="1462"/>
    </row>
    <row r="48" spans="1:24">
      <c r="A48" s="372"/>
      <c r="B48" s="1401"/>
      <c r="C48" s="1401"/>
      <c r="D48" s="1401"/>
      <c r="E48" s="1401"/>
      <c r="F48" s="1401"/>
      <c r="G48" s="1401"/>
      <c r="H48" s="407"/>
      <c r="I48" s="1463"/>
      <c r="J48" s="372"/>
    </row>
    <row r="49" spans="1:24" s="1398" customFormat="1">
      <c r="A49" s="1103"/>
      <c r="B49" s="1402"/>
      <c r="C49" s="1402"/>
      <c r="D49" s="1402"/>
      <c r="E49" s="1402"/>
      <c r="F49" s="1402"/>
      <c r="G49" s="1402"/>
      <c r="H49" s="1403"/>
      <c r="I49" s="1464"/>
      <c r="J49" s="307"/>
      <c r="K49" s="1103"/>
      <c r="L49" s="307"/>
      <c r="M49" s="307"/>
      <c r="N49" s="307"/>
      <c r="O49" s="1907"/>
      <c r="P49" s="307"/>
      <c r="Q49" s="1913"/>
      <c r="R49" s="307"/>
      <c r="S49" s="307"/>
      <c r="T49" s="307"/>
      <c r="U49" s="307"/>
      <c r="V49" s="307"/>
      <c r="W49" s="307"/>
      <c r="X49" s="307"/>
    </row>
    <row r="51" spans="1:24" s="1398" customFormat="1">
      <c r="A51" s="307"/>
      <c r="B51" s="1374"/>
      <c r="C51" s="1374"/>
      <c r="D51" s="1374"/>
      <c r="E51" s="1374"/>
      <c r="F51" s="1374"/>
      <c r="G51" s="1374"/>
      <c r="H51" s="337"/>
      <c r="I51" s="1376"/>
      <c r="J51" s="307"/>
      <c r="L51" s="307"/>
      <c r="M51" s="307"/>
      <c r="N51" s="307"/>
      <c r="O51" s="1907"/>
      <c r="P51" s="307"/>
      <c r="Q51" s="1913"/>
      <c r="R51" s="307"/>
      <c r="S51" s="307"/>
      <c r="T51" s="307"/>
      <c r="U51" s="307"/>
      <c r="V51" s="307"/>
      <c r="W51" s="307"/>
      <c r="X51" s="307"/>
    </row>
    <row r="53" spans="1:24" s="1398" customFormat="1">
      <c r="A53" s="307"/>
      <c r="B53" s="1374"/>
      <c r="C53" s="1374"/>
      <c r="D53" s="1374"/>
      <c r="E53" s="1374"/>
      <c r="F53" s="1374"/>
      <c r="G53" s="1374"/>
      <c r="H53" s="337"/>
      <c r="I53" s="1376"/>
      <c r="J53" s="307"/>
      <c r="L53" s="307"/>
      <c r="M53" s="307"/>
      <c r="N53" s="307"/>
      <c r="O53" s="1907"/>
      <c r="P53" s="307"/>
      <c r="Q53" s="1913"/>
      <c r="R53" s="307"/>
      <c r="S53" s="307"/>
      <c r="T53" s="307"/>
      <c r="U53" s="307"/>
      <c r="V53" s="307"/>
      <c r="W53" s="307"/>
      <c r="X53" s="307"/>
    </row>
    <row r="54" spans="1:24" s="372" customFormat="1">
      <c r="A54" s="307"/>
      <c r="B54" s="1374"/>
      <c r="C54" s="1374"/>
      <c r="D54" s="1374"/>
      <c r="E54" s="1374"/>
      <c r="F54" s="1374"/>
      <c r="G54" s="1374"/>
      <c r="H54" s="337"/>
      <c r="I54" s="1376"/>
      <c r="J54" s="307"/>
      <c r="K54" s="307"/>
      <c r="L54" s="307"/>
      <c r="M54" s="307"/>
      <c r="N54" s="307"/>
      <c r="O54" s="1907"/>
      <c r="P54" s="307"/>
      <c r="Q54" s="1913"/>
      <c r="R54" s="307"/>
      <c r="S54" s="307"/>
      <c r="T54" s="307"/>
      <c r="U54" s="307"/>
      <c r="V54" s="307"/>
      <c r="W54" s="307"/>
      <c r="X54" s="307"/>
    </row>
    <row r="55" spans="1:24" s="1103" customFormat="1">
      <c r="A55" s="307"/>
      <c r="B55" s="1374"/>
      <c r="C55" s="1374"/>
      <c r="D55" s="1374"/>
      <c r="E55" s="1374"/>
      <c r="F55" s="1374"/>
      <c r="G55" s="1374"/>
      <c r="H55" s="337"/>
      <c r="I55" s="1376"/>
      <c r="J55" s="307"/>
      <c r="K55" s="1398"/>
      <c r="L55" s="307"/>
      <c r="M55" s="307"/>
      <c r="N55" s="307"/>
      <c r="O55" s="1907"/>
      <c r="P55" s="307"/>
      <c r="Q55" s="1913"/>
      <c r="R55" s="307"/>
      <c r="S55" s="307"/>
      <c r="T55" s="307"/>
      <c r="U55" s="307"/>
      <c r="V55" s="307"/>
      <c r="W55" s="307"/>
      <c r="X55" s="307"/>
    </row>
  </sheetData>
  <sortState xmlns:xlrd2="http://schemas.microsoft.com/office/spreadsheetml/2017/richdata2" ref="L7:Q38">
    <sortCondition descending="1" ref="O7:O38"/>
  </sortState>
  <mergeCells count="2">
    <mergeCell ref="A1:J1"/>
    <mergeCell ref="A2:J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21">
    <tabColor rgb="FF66FF33"/>
    <pageSetUpPr fitToPage="1"/>
  </sheetPr>
  <dimension ref="A1:Y32"/>
  <sheetViews>
    <sheetView showGridLines="0" view="pageBreakPreview" zoomScale="85" zoomScaleNormal="100" zoomScaleSheetLayoutView="85" workbookViewId="0">
      <selection activeCell="D23" sqref="D23"/>
    </sheetView>
  </sheetViews>
  <sheetFormatPr defaultColWidth="11.42578125" defaultRowHeight="14.25"/>
  <cols>
    <col min="1" max="1" width="21.7109375" style="307" customWidth="1"/>
    <col min="2" max="2" width="20.7109375" style="307" customWidth="1"/>
    <col min="3" max="3" width="21.42578125" style="307" customWidth="1"/>
    <col min="4" max="4" width="17.28515625" style="307" customWidth="1"/>
    <col min="5" max="5" width="18.28515625" style="307" customWidth="1"/>
    <col min="6" max="6" width="17.28515625" style="307" customWidth="1"/>
    <col min="7" max="7" width="28.7109375" style="307" customWidth="1"/>
    <col min="8" max="8" width="29" style="307" customWidth="1"/>
    <col min="9" max="9" width="25.42578125" style="307" customWidth="1"/>
    <col min="10" max="10" width="11.42578125" style="307"/>
    <col min="11" max="11" width="20.42578125" style="307" customWidth="1"/>
    <col min="12" max="13" width="11.42578125" style="307" customWidth="1"/>
    <col min="14" max="16384" width="11.42578125" style="307"/>
  </cols>
  <sheetData>
    <row r="1" spans="1:25" s="541" customFormat="1" ht="60.75" customHeight="1">
      <c r="A1" s="2367" t="s">
        <v>1231</v>
      </c>
      <c r="B1" s="2367"/>
      <c r="C1" s="2367"/>
      <c r="D1" s="2367"/>
      <c r="E1" s="2367"/>
      <c r="F1" s="2367"/>
      <c r="G1" s="2367"/>
      <c r="H1" s="2367"/>
      <c r="I1" s="2367"/>
    </row>
    <row r="2" spans="1:25" s="541" customFormat="1" ht="20.25" customHeight="1">
      <c r="A2" s="2368" t="str">
        <f>+'V.4.3. NA.Cant. accid x región'!A2:R2</f>
        <v>Período:  Diciembre 2007 - Abril 2025</v>
      </c>
      <c r="B2" s="2368"/>
      <c r="C2" s="2368"/>
      <c r="D2" s="2368"/>
      <c r="E2" s="2368"/>
      <c r="F2" s="2368"/>
      <c r="G2" s="2368"/>
      <c r="H2" s="2368"/>
      <c r="I2" s="2368"/>
      <c r="K2" s="307"/>
    </row>
    <row r="3" spans="1:25" ht="9" customHeight="1"/>
    <row r="4" spans="1:25" ht="24" customHeight="1">
      <c r="A4" s="559" t="s">
        <v>371</v>
      </c>
      <c r="B4" s="560" t="s">
        <v>1232</v>
      </c>
      <c r="C4" s="560" t="s">
        <v>976</v>
      </c>
      <c r="D4" s="560" t="s">
        <v>243</v>
      </c>
      <c r="E4" s="560" t="s">
        <v>1233</v>
      </c>
      <c r="F4" s="650" t="s">
        <v>1234</v>
      </c>
    </row>
    <row r="5" spans="1:25" ht="15.75">
      <c r="A5" s="1327">
        <v>2007</v>
      </c>
      <c r="B5" s="652">
        <v>445</v>
      </c>
      <c r="C5" s="652">
        <v>8099</v>
      </c>
      <c r="D5" s="653">
        <f t="shared" ref="D5:D23" si="0">SUM(B5:C5)</f>
        <v>8544</v>
      </c>
      <c r="E5" s="654">
        <f t="shared" ref="E5" si="1">B5/D5</f>
        <v>5.2083333333333336E-2</v>
      </c>
      <c r="F5" s="655">
        <f t="shared" ref="F5" si="2">C5/D5</f>
        <v>0.94791666666666663</v>
      </c>
    </row>
    <row r="6" spans="1:25" ht="15.75">
      <c r="A6" s="1327">
        <v>2008</v>
      </c>
      <c r="B6" s="652">
        <v>660</v>
      </c>
      <c r="C6" s="652">
        <v>10317</v>
      </c>
      <c r="D6" s="653">
        <f t="shared" si="0"/>
        <v>10977</v>
      </c>
      <c r="E6" s="654">
        <f t="shared" ref="E6:E23" si="3">B6/D6</f>
        <v>6.0125717409128178E-2</v>
      </c>
      <c r="F6" s="655">
        <f t="shared" ref="F6:F23" si="4">C6/D6</f>
        <v>0.9398742825908718</v>
      </c>
      <c r="G6" s="432"/>
      <c r="H6" s="432"/>
    </row>
    <row r="7" spans="1:25" ht="15.75">
      <c r="A7" s="1327">
        <v>2009</v>
      </c>
      <c r="B7" s="652">
        <v>986</v>
      </c>
      <c r="C7" s="652">
        <v>13697</v>
      </c>
      <c r="D7" s="653">
        <f t="shared" si="0"/>
        <v>14683</v>
      </c>
      <c r="E7" s="654">
        <f t="shared" si="3"/>
        <v>6.7152489273309274E-2</v>
      </c>
      <c r="F7" s="655">
        <f t="shared" si="4"/>
        <v>0.9328475107266907</v>
      </c>
    </row>
    <row r="8" spans="1:25" ht="15.75">
      <c r="A8" s="1327">
        <v>2010</v>
      </c>
      <c r="B8" s="652">
        <v>1477</v>
      </c>
      <c r="C8" s="652">
        <v>15979</v>
      </c>
      <c r="D8" s="653">
        <f t="shared" si="0"/>
        <v>17456</v>
      </c>
      <c r="E8" s="654">
        <f t="shared" si="3"/>
        <v>8.4612740604949582E-2</v>
      </c>
      <c r="F8" s="655">
        <f t="shared" si="4"/>
        <v>0.91538725939505039</v>
      </c>
    </row>
    <row r="9" spans="1:25" ht="15.75">
      <c r="A9" s="651">
        <v>2011</v>
      </c>
      <c r="B9" s="652">
        <v>2094</v>
      </c>
      <c r="C9" s="652">
        <v>20503</v>
      </c>
      <c r="D9" s="653">
        <f t="shared" si="0"/>
        <v>22597</v>
      </c>
      <c r="E9" s="654">
        <f t="shared" si="3"/>
        <v>9.2667168208169226E-2</v>
      </c>
      <c r="F9" s="655">
        <f t="shared" si="4"/>
        <v>0.90733283179183077</v>
      </c>
    </row>
    <row r="10" spans="1:25" ht="15.75">
      <c r="A10" s="1327">
        <v>2012</v>
      </c>
      <c r="B10" s="652">
        <v>3858</v>
      </c>
      <c r="C10" s="652">
        <v>22830</v>
      </c>
      <c r="D10" s="653">
        <f t="shared" si="0"/>
        <v>26688</v>
      </c>
      <c r="E10" s="654">
        <f t="shared" si="3"/>
        <v>0.1445593525179856</v>
      </c>
      <c r="F10" s="655">
        <f t="shared" si="4"/>
        <v>0.85544064748201443</v>
      </c>
      <c r="O10" s="1907"/>
      <c r="Q10" s="1907"/>
    </row>
    <row r="11" spans="1:25" ht="16.5" thickBot="1">
      <c r="A11" s="1327">
        <v>2013</v>
      </c>
      <c r="B11" s="652">
        <v>4451</v>
      </c>
      <c r="C11" s="652">
        <v>24184</v>
      </c>
      <c r="D11" s="653">
        <f t="shared" si="0"/>
        <v>28635</v>
      </c>
      <c r="E11" s="654">
        <f t="shared" si="3"/>
        <v>0.15543914789593155</v>
      </c>
      <c r="F11" s="655">
        <f t="shared" si="4"/>
        <v>0.84456085210406839</v>
      </c>
      <c r="K11" s="1902" t="s">
        <v>1235</v>
      </c>
      <c r="L11" s="1903" t="s">
        <v>1185</v>
      </c>
      <c r="M11" s="1903" t="s">
        <v>1186</v>
      </c>
      <c r="N11" s="1903" t="s">
        <v>1187</v>
      </c>
      <c r="O11" s="1909"/>
      <c r="P11" s="1903" t="s">
        <v>1188</v>
      </c>
      <c r="Q11" s="1909"/>
      <c r="R11" s="1903"/>
      <c r="S11" s="1903"/>
      <c r="T11" s="1903"/>
      <c r="U11" s="1903"/>
      <c r="V11" s="1903"/>
      <c r="W11" s="1903"/>
      <c r="X11" s="1903"/>
      <c r="Y11" s="1921"/>
    </row>
    <row r="12" spans="1:25" ht="16.5" thickBot="1">
      <c r="A12" s="1327">
        <v>2014</v>
      </c>
      <c r="B12" s="652">
        <v>5112</v>
      </c>
      <c r="C12" s="652">
        <v>25920</v>
      </c>
      <c r="D12" s="653">
        <f t="shared" si="0"/>
        <v>31032</v>
      </c>
      <c r="E12" s="654">
        <f t="shared" si="3"/>
        <v>0.16473317865429235</v>
      </c>
      <c r="F12" s="655">
        <f t="shared" si="4"/>
        <v>0.83526682134570762</v>
      </c>
      <c r="K12" s="1904" t="s">
        <v>1236</v>
      </c>
      <c r="L12" s="1273">
        <v>3212</v>
      </c>
      <c r="M12" s="1273">
        <v>3177</v>
      </c>
      <c r="N12" s="1273">
        <v>3598</v>
      </c>
      <c r="O12" s="1910">
        <f>SUM(L12:N12)</f>
        <v>9987</v>
      </c>
      <c r="P12" s="1273">
        <v>3281</v>
      </c>
      <c r="Q12" s="1910">
        <f>SUM(O12:P12)</f>
        <v>13268</v>
      </c>
      <c r="R12" s="1273"/>
      <c r="S12" s="1273"/>
      <c r="T12" s="1273"/>
      <c r="U12" s="1273"/>
      <c r="V12" s="1273"/>
      <c r="W12" s="1273"/>
      <c r="X12" s="1273"/>
      <c r="Y12" s="1922"/>
    </row>
    <row r="13" spans="1:25" ht="16.5" thickBot="1">
      <c r="A13" s="1327">
        <v>2015</v>
      </c>
      <c r="B13" s="652">
        <v>5396</v>
      </c>
      <c r="C13" s="652">
        <v>29153</v>
      </c>
      <c r="D13" s="653">
        <f t="shared" si="0"/>
        <v>34549</v>
      </c>
      <c r="E13" s="654">
        <f t="shared" si="3"/>
        <v>0.15618397059249181</v>
      </c>
      <c r="F13" s="655">
        <f t="shared" si="4"/>
        <v>0.84381602940750822</v>
      </c>
      <c r="K13" s="1905" t="s">
        <v>1237</v>
      </c>
      <c r="L13" s="1906">
        <v>806</v>
      </c>
      <c r="M13" s="1906">
        <v>819</v>
      </c>
      <c r="N13" s="1906">
        <v>1033</v>
      </c>
      <c r="O13" s="1911">
        <f>SUM(L13:N13)</f>
        <v>2658</v>
      </c>
      <c r="P13" s="1906">
        <v>823</v>
      </c>
      <c r="Q13" s="1910">
        <f>SUM(O13:P13)</f>
        <v>3481</v>
      </c>
      <c r="R13" s="1906"/>
      <c r="S13" s="1906"/>
      <c r="T13" s="1906"/>
      <c r="U13" s="1906"/>
      <c r="V13" s="1906"/>
      <c r="W13" s="1906"/>
      <c r="X13" s="1906"/>
      <c r="Y13" s="1928"/>
    </row>
    <row r="14" spans="1:25" ht="15.75">
      <c r="A14" s="1327">
        <v>2016</v>
      </c>
      <c r="B14" s="652">
        <v>6565</v>
      </c>
      <c r="C14" s="652">
        <v>32291</v>
      </c>
      <c r="D14" s="653">
        <f t="shared" si="0"/>
        <v>38856</v>
      </c>
      <c r="E14" s="654">
        <f t="shared" si="3"/>
        <v>0.16895717521103562</v>
      </c>
      <c r="F14" s="655">
        <f t="shared" si="4"/>
        <v>0.83104282478896441</v>
      </c>
      <c r="O14" s="1907"/>
      <c r="Q14" s="1907"/>
    </row>
    <row r="15" spans="1:25" ht="15.75">
      <c r="A15" s="1327">
        <v>2017</v>
      </c>
      <c r="B15" s="652">
        <v>8616</v>
      </c>
      <c r="C15" s="652">
        <v>32873</v>
      </c>
      <c r="D15" s="653">
        <f t="shared" si="0"/>
        <v>41489</v>
      </c>
      <c r="E15" s="654">
        <f t="shared" si="3"/>
        <v>0.20766950275976764</v>
      </c>
      <c r="F15" s="655">
        <f t="shared" si="4"/>
        <v>0.7923304972402323</v>
      </c>
      <c r="N15" s="307">
        <f>SUM(N12:N14)</f>
        <v>4631</v>
      </c>
      <c r="O15" s="1907"/>
    </row>
    <row r="16" spans="1:25" ht="15.75">
      <c r="A16" s="656">
        <v>2018</v>
      </c>
      <c r="B16" s="1117">
        <v>10106</v>
      </c>
      <c r="C16" s="1117">
        <v>35364</v>
      </c>
      <c r="D16" s="653">
        <f t="shared" si="0"/>
        <v>45470</v>
      </c>
      <c r="E16" s="654">
        <f t="shared" si="3"/>
        <v>0.22225643281284363</v>
      </c>
      <c r="F16" s="655">
        <f t="shared" si="4"/>
        <v>0.77774356718715631</v>
      </c>
    </row>
    <row r="17" spans="1:10" ht="15.75">
      <c r="A17" s="656">
        <v>2019</v>
      </c>
      <c r="B17" s="1117">
        <v>10920</v>
      </c>
      <c r="C17" s="1117">
        <v>38228</v>
      </c>
      <c r="D17" s="653">
        <f t="shared" si="0"/>
        <v>49148</v>
      </c>
      <c r="E17" s="654">
        <f t="shared" si="3"/>
        <v>0.22218605029706193</v>
      </c>
      <c r="F17" s="655">
        <f t="shared" si="4"/>
        <v>0.77781394970293805</v>
      </c>
    </row>
    <row r="18" spans="1:10" ht="15.75">
      <c r="A18" s="656">
        <v>2020</v>
      </c>
      <c r="B18" s="1117">
        <v>11630</v>
      </c>
      <c r="C18" s="1117">
        <v>28515</v>
      </c>
      <c r="D18" s="653">
        <f t="shared" si="0"/>
        <v>40145</v>
      </c>
      <c r="E18" s="654">
        <f t="shared" si="3"/>
        <v>0.28969983808693484</v>
      </c>
      <c r="F18" s="655">
        <f t="shared" si="4"/>
        <v>0.71030016191306511</v>
      </c>
    </row>
    <row r="19" spans="1:10" ht="15.75">
      <c r="A19" s="656">
        <v>2021</v>
      </c>
      <c r="B19" s="1117">
        <v>14102</v>
      </c>
      <c r="C19" s="1117">
        <v>33348</v>
      </c>
      <c r="D19" s="653">
        <f t="shared" si="0"/>
        <v>47450</v>
      </c>
      <c r="E19" s="654">
        <f t="shared" si="3"/>
        <v>0.29719704952581666</v>
      </c>
      <c r="F19" s="655">
        <f t="shared" si="4"/>
        <v>0.7028029504741834</v>
      </c>
    </row>
    <row r="20" spans="1:10" ht="15.75">
      <c r="A20" s="656">
        <v>2022</v>
      </c>
      <c r="B20" s="1117">
        <v>12146</v>
      </c>
      <c r="C20" s="1117">
        <v>37449</v>
      </c>
      <c r="D20" s="653">
        <f t="shared" si="0"/>
        <v>49595</v>
      </c>
      <c r="E20" s="654">
        <f t="shared" si="3"/>
        <v>0.24490372013307793</v>
      </c>
      <c r="F20" s="655">
        <f t="shared" si="4"/>
        <v>0.75509627986692207</v>
      </c>
    </row>
    <row r="21" spans="1:10" ht="15.75">
      <c r="A21" s="656">
        <v>2023</v>
      </c>
      <c r="B21" s="1117">
        <v>9115</v>
      </c>
      <c r="C21" s="1117">
        <v>37682</v>
      </c>
      <c r="D21" s="653">
        <f t="shared" si="0"/>
        <v>46797</v>
      </c>
      <c r="E21" s="654">
        <f t="shared" si="3"/>
        <v>0.19477744299848282</v>
      </c>
      <c r="F21" s="655">
        <f t="shared" si="4"/>
        <v>0.80522255700151724</v>
      </c>
    </row>
    <row r="22" spans="1:10" ht="15.75">
      <c r="A22" s="656">
        <v>2024</v>
      </c>
      <c r="B22" s="1117">
        <v>9641</v>
      </c>
      <c r="C22" s="1117">
        <v>40591</v>
      </c>
      <c r="D22" s="653">
        <f t="shared" si="0"/>
        <v>50232</v>
      </c>
      <c r="E22" s="654">
        <f t="shared" si="3"/>
        <v>0.19192944736422998</v>
      </c>
      <c r="F22" s="655">
        <f t="shared" si="4"/>
        <v>0.80807055263576999</v>
      </c>
    </row>
    <row r="23" spans="1:10" ht="15.75">
      <c r="A23" s="656" t="str">
        <f>+'Resumen '!O6</f>
        <v>Abr.2025</v>
      </c>
      <c r="B23" s="1117">
        <v>3481</v>
      </c>
      <c r="C23" s="1117">
        <v>13268</v>
      </c>
      <c r="D23" s="653">
        <f>SUM(B23:C23)</f>
        <v>16749</v>
      </c>
      <c r="E23" s="654">
        <f t="shared" si="3"/>
        <v>0.20783330348080484</v>
      </c>
      <c r="F23" s="655">
        <f t="shared" si="4"/>
        <v>0.79216669651919513</v>
      </c>
    </row>
    <row r="24" spans="1:10" ht="15.75">
      <c r="A24" s="561" t="s">
        <v>235</v>
      </c>
      <c r="B24" s="562">
        <f>SUM(B5:B23)</f>
        <v>120801</v>
      </c>
      <c r="C24" s="562">
        <f>SUM(C5:C23)</f>
        <v>500291</v>
      </c>
      <c r="D24" s="562">
        <f>SUM(D5:D23)</f>
        <v>621092</v>
      </c>
      <c r="E24" s="657">
        <f>AVERAGE(E5:E23)</f>
        <v>0.1697351084820867</v>
      </c>
      <c r="F24" s="658">
        <f>AVERAGE(F5:F23)</f>
        <v>0.83026489151791338</v>
      </c>
      <c r="J24" s="307">
        <f>+D23-'V.4.2.NA. Reportes ARL'!D23</f>
        <v>0</v>
      </c>
    </row>
    <row r="32" spans="1:10">
      <c r="I32" s="327"/>
    </row>
  </sheetData>
  <mergeCells count="2">
    <mergeCell ref="A1:I1"/>
    <mergeCell ref="A2:I2"/>
  </mergeCells>
  <pageMargins left="0.70866141732283472" right="0.70866141732283472" top="0.74803149606299213" bottom="0.74803149606299213" header="0.31496062992125984" footer="0.31496062992125984"/>
  <pageSetup paperSize="119" scale="56"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22">
    <tabColor rgb="FF66FF33"/>
    <pageSetUpPr fitToPage="1"/>
  </sheetPr>
  <dimension ref="A1:Z27"/>
  <sheetViews>
    <sheetView showGridLines="0" view="pageBreakPreview" topLeftCell="B1" zoomScale="85" zoomScaleNormal="100" zoomScaleSheetLayoutView="85" workbookViewId="0">
      <selection activeCell="B24" sqref="B24"/>
    </sheetView>
  </sheetViews>
  <sheetFormatPr defaultColWidth="11.42578125" defaultRowHeight="15"/>
  <cols>
    <col min="1" max="1" width="18.140625" style="307" customWidth="1"/>
    <col min="2" max="2" width="16.7109375" style="307" customWidth="1"/>
    <col min="3" max="3" width="20.28515625" style="307" customWidth="1"/>
    <col min="4" max="4" width="19.5703125" style="307" customWidth="1"/>
    <col min="5" max="5" width="17.7109375" style="307" customWidth="1"/>
    <col min="6" max="6" width="17.28515625" style="307" customWidth="1"/>
    <col min="7" max="8" width="21.85546875" style="307" customWidth="1"/>
    <col min="9" max="9" width="22.5703125" style="307" customWidth="1"/>
    <col min="10" max="10" width="3.42578125" style="307" customWidth="1"/>
    <col min="11" max="11" width="11.42578125" style="307"/>
    <col min="12" max="12" width="16.7109375" style="307" customWidth="1"/>
    <col min="13" max="14" width="11.42578125" style="307" customWidth="1"/>
    <col min="15" max="15" width="11.42578125" style="307"/>
    <col min="16" max="16" width="11.42578125" style="1907"/>
    <col min="17" max="17" width="11.42578125" style="307"/>
    <col min="18" max="18" width="11.42578125" style="1907"/>
    <col min="19" max="16384" width="11.42578125" style="307"/>
  </cols>
  <sheetData>
    <row r="1" spans="1:26" s="541" customFormat="1" ht="60" customHeight="1">
      <c r="A1" s="2369" t="s">
        <v>1238</v>
      </c>
      <c r="B1" s="2369"/>
      <c r="C1" s="2369"/>
      <c r="D1" s="2369"/>
      <c r="E1" s="2369"/>
      <c r="F1" s="2369"/>
      <c r="G1" s="2369"/>
      <c r="H1" s="2369"/>
      <c r="I1" s="2369"/>
      <c r="P1" s="1908"/>
      <c r="R1" s="1908"/>
    </row>
    <row r="2" spans="1:26" s="541" customFormat="1" ht="17.25" customHeight="1">
      <c r="A2" s="2369" t="str">
        <f>+'V.4.5. NA.Cant. accid x sector'!A2:I2</f>
        <v>Período:  Diciembre 2007 - Abril 2025</v>
      </c>
      <c r="B2" s="2369"/>
      <c r="C2" s="2369"/>
      <c r="D2" s="2369"/>
      <c r="E2" s="2369"/>
      <c r="F2" s="2369"/>
      <c r="G2" s="2369"/>
      <c r="H2" s="2369"/>
      <c r="I2" s="2369"/>
      <c r="P2" s="1908"/>
      <c r="R2" s="1908"/>
    </row>
    <row r="3" spans="1:26" ht="10.5" customHeight="1">
      <c r="A3" s="529"/>
      <c r="B3" s="529"/>
      <c r="C3" s="529"/>
      <c r="D3" s="529"/>
      <c r="E3" s="529"/>
      <c r="F3" s="529"/>
      <c r="G3" s="372"/>
      <c r="H3" s="372"/>
      <c r="I3" s="372"/>
    </row>
    <row r="4" spans="1:26" s="372" customFormat="1" ht="27" customHeight="1">
      <c r="A4" s="563" t="s">
        <v>562</v>
      </c>
      <c r="B4" s="573" t="s">
        <v>239</v>
      </c>
      <c r="C4" s="573" t="s">
        <v>238</v>
      </c>
      <c r="D4" s="564" t="s">
        <v>1156</v>
      </c>
      <c r="E4" s="573" t="s">
        <v>1239</v>
      </c>
      <c r="F4" s="574" t="s">
        <v>1240</v>
      </c>
      <c r="J4" s="307"/>
      <c r="K4" s="307"/>
      <c r="P4" s="1929"/>
      <c r="R4" s="1929"/>
    </row>
    <row r="5" spans="1:26">
      <c r="A5" s="659">
        <v>2007</v>
      </c>
      <c r="B5" s="660">
        <v>1471</v>
      </c>
      <c r="C5" s="660">
        <v>7068</v>
      </c>
      <c r="D5" s="661">
        <f>B5+C5</f>
        <v>8539</v>
      </c>
      <c r="E5" s="662">
        <f>B5/D5</f>
        <v>0.17226841550532848</v>
      </c>
      <c r="F5" s="663">
        <f>C5/D5</f>
        <v>0.82773158449467155</v>
      </c>
    </row>
    <row r="6" spans="1:26">
      <c r="A6" s="659">
        <v>2008</v>
      </c>
      <c r="B6" s="660">
        <v>2073</v>
      </c>
      <c r="C6" s="660">
        <v>8902</v>
      </c>
      <c r="D6" s="661">
        <f>B6+C6</f>
        <v>10975</v>
      </c>
      <c r="E6" s="662">
        <f t="shared" ref="E6:E23" si="0">B6/D6</f>
        <v>0.18888382687927108</v>
      </c>
      <c r="F6" s="663">
        <f t="shared" ref="F6:F23" si="1">C6/D6</f>
        <v>0.81111617312072892</v>
      </c>
    </row>
    <row r="7" spans="1:26">
      <c r="A7" s="659">
        <v>2009</v>
      </c>
      <c r="B7" s="660">
        <v>3079</v>
      </c>
      <c r="C7" s="660">
        <v>11601</v>
      </c>
      <c r="D7" s="661">
        <f>B7+C7</f>
        <v>14680</v>
      </c>
      <c r="E7" s="662">
        <f t="shared" si="0"/>
        <v>0.20974114441416894</v>
      </c>
      <c r="F7" s="663">
        <f t="shared" si="1"/>
        <v>0.79025885558583109</v>
      </c>
    </row>
    <row r="8" spans="1:26">
      <c r="A8" s="659">
        <v>2010</v>
      </c>
      <c r="B8" s="660">
        <v>3933</v>
      </c>
      <c r="C8" s="660">
        <v>13522</v>
      </c>
      <c r="D8" s="661">
        <f t="shared" ref="D8:D16" si="2">B8+C8</f>
        <v>17455</v>
      </c>
      <c r="E8" s="662">
        <f t="shared" si="0"/>
        <v>0.22532225723288457</v>
      </c>
      <c r="F8" s="663">
        <f t="shared" si="1"/>
        <v>0.77467774276711543</v>
      </c>
    </row>
    <row r="9" spans="1:26">
      <c r="A9" s="659">
        <v>2011</v>
      </c>
      <c r="B9" s="660">
        <v>5636</v>
      </c>
      <c r="C9" s="660">
        <v>16957</v>
      </c>
      <c r="D9" s="661">
        <f t="shared" si="2"/>
        <v>22593</v>
      </c>
      <c r="E9" s="662">
        <f t="shared" si="0"/>
        <v>0.24945779666268314</v>
      </c>
      <c r="F9" s="663">
        <f t="shared" si="1"/>
        <v>0.75054220333731692</v>
      </c>
    </row>
    <row r="10" spans="1:26" ht="16.5" thickBot="1">
      <c r="A10" s="659">
        <v>2012</v>
      </c>
      <c r="B10" s="660">
        <v>7023</v>
      </c>
      <c r="C10" s="660">
        <v>19654</v>
      </c>
      <c r="D10" s="661">
        <f t="shared" si="2"/>
        <v>26677</v>
      </c>
      <c r="E10" s="662">
        <f t="shared" si="0"/>
        <v>0.26326048656145745</v>
      </c>
      <c r="F10" s="663">
        <f t="shared" si="1"/>
        <v>0.7367395134385426</v>
      </c>
      <c r="G10" s="307" t="s">
        <v>1</v>
      </c>
      <c r="L10" s="1902" t="s">
        <v>1241</v>
      </c>
      <c r="M10" s="1903" t="s">
        <v>1185</v>
      </c>
      <c r="N10" s="1903" t="s">
        <v>1186</v>
      </c>
      <c r="O10" s="1903" t="s">
        <v>1187</v>
      </c>
      <c r="P10" s="1909"/>
      <c r="Q10" s="1903" t="s">
        <v>1188</v>
      </c>
      <c r="R10" s="1909"/>
      <c r="S10" s="1903"/>
      <c r="T10" s="1903"/>
      <c r="U10" s="1903"/>
      <c r="V10" s="1903"/>
      <c r="W10" s="1903"/>
      <c r="X10" s="1903"/>
      <c r="Y10" s="1903"/>
      <c r="Z10" s="1921"/>
    </row>
    <row r="11" spans="1:26" ht="16.5" thickBot="1">
      <c r="A11" s="659">
        <v>2013</v>
      </c>
      <c r="B11" s="660">
        <v>7837</v>
      </c>
      <c r="C11" s="660">
        <v>20767</v>
      </c>
      <c r="D11" s="661">
        <f t="shared" si="2"/>
        <v>28604</v>
      </c>
      <c r="E11" s="662">
        <f t="shared" si="0"/>
        <v>0.27398265976786462</v>
      </c>
      <c r="F11" s="663">
        <f t="shared" si="1"/>
        <v>0.72601734023213538</v>
      </c>
      <c r="L11" s="1904" t="s">
        <v>238</v>
      </c>
      <c r="M11" s="1273">
        <v>2492</v>
      </c>
      <c r="N11" s="1273">
        <v>2424</v>
      </c>
      <c r="O11" s="1273">
        <v>2782</v>
      </c>
      <c r="P11" s="1910">
        <f>SUM(M11:O11)</f>
        <v>7698</v>
      </c>
      <c r="Q11" s="1273">
        <v>2467</v>
      </c>
      <c r="R11" s="1910">
        <f>SUM(P11:Q11)</f>
        <v>10165</v>
      </c>
      <c r="S11" s="1273"/>
      <c r="T11" s="1273"/>
      <c r="U11" s="1273"/>
      <c r="V11" s="1273"/>
      <c r="W11" s="1273"/>
      <c r="X11" s="1273"/>
      <c r="Y11" s="1273"/>
      <c r="Z11" s="1922"/>
    </row>
    <row r="12" spans="1:26" ht="13.5" customHeight="1">
      <c r="A12" s="659">
        <v>2014</v>
      </c>
      <c r="B12" s="660">
        <v>8887</v>
      </c>
      <c r="C12" s="660">
        <v>22125</v>
      </c>
      <c r="D12" s="661">
        <f t="shared" si="2"/>
        <v>31012</v>
      </c>
      <c r="E12" s="662">
        <f t="shared" si="0"/>
        <v>0.28656649039081644</v>
      </c>
      <c r="F12" s="663">
        <f t="shared" si="1"/>
        <v>0.7134335096091835</v>
      </c>
      <c r="L12" s="1905" t="s">
        <v>239</v>
      </c>
      <c r="M12" s="1906">
        <v>1526</v>
      </c>
      <c r="N12" s="1906">
        <v>1572</v>
      </c>
      <c r="O12" s="1906">
        <v>1849</v>
      </c>
      <c r="P12" s="1911">
        <f>SUM(M12:O12)</f>
        <v>4947</v>
      </c>
      <c r="Q12" s="1906">
        <v>1637</v>
      </c>
      <c r="R12" s="1911">
        <f>SUM(P12:Q12)</f>
        <v>6584</v>
      </c>
      <c r="S12" s="1906"/>
      <c r="T12" s="1906"/>
      <c r="U12" s="1906"/>
      <c r="V12" s="1906"/>
      <c r="W12" s="1906"/>
      <c r="X12" s="1906"/>
      <c r="Y12" s="1906"/>
      <c r="Z12" s="1928"/>
    </row>
    <row r="13" spans="1:26">
      <c r="A13" s="659">
        <v>2015</v>
      </c>
      <c r="B13" s="660">
        <v>10111</v>
      </c>
      <c r="C13" s="660">
        <v>24423</v>
      </c>
      <c r="D13" s="661">
        <f t="shared" si="2"/>
        <v>34534</v>
      </c>
      <c r="E13" s="662">
        <f t="shared" si="0"/>
        <v>0.29278392309028783</v>
      </c>
      <c r="F13" s="663">
        <f t="shared" si="1"/>
        <v>0.70721607690971222</v>
      </c>
    </row>
    <row r="14" spans="1:26">
      <c r="A14" s="659">
        <v>2016</v>
      </c>
      <c r="B14" s="660">
        <v>12078</v>
      </c>
      <c r="C14" s="660">
        <v>26764</v>
      </c>
      <c r="D14" s="661">
        <f t="shared" si="2"/>
        <v>38842</v>
      </c>
      <c r="E14" s="662">
        <f t="shared" si="0"/>
        <v>0.31095206220071059</v>
      </c>
      <c r="F14" s="663">
        <f t="shared" si="1"/>
        <v>0.68904793779928941</v>
      </c>
    </row>
    <row r="15" spans="1:26">
      <c r="A15" s="659">
        <v>2017</v>
      </c>
      <c r="B15" s="660">
        <v>12405</v>
      </c>
      <c r="C15" s="660">
        <v>29049</v>
      </c>
      <c r="D15" s="661">
        <f t="shared" si="2"/>
        <v>41454</v>
      </c>
      <c r="E15" s="662">
        <f t="shared" si="0"/>
        <v>0.29924735851787526</v>
      </c>
      <c r="F15" s="663">
        <f t="shared" si="1"/>
        <v>0.70075264148212479</v>
      </c>
    </row>
    <row r="16" spans="1:26">
      <c r="A16" s="659">
        <v>2018</v>
      </c>
      <c r="B16" s="660">
        <v>14681</v>
      </c>
      <c r="C16" s="660">
        <v>30770</v>
      </c>
      <c r="D16" s="661">
        <f t="shared" si="2"/>
        <v>45451</v>
      </c>
      <c r="E16" s="662">
        <f t="shared" si="0"/>
        <v>0.32300719456117577</v>
      </c>
      <c r="F16" s="663">
        <f t="shared" si="1"/>
        <v>0.67699280543882423</v>
      </c>
    </row>
    <row r="17" spans="1:12">
      <c r="A17" s="659">
        <v>2019</v>
      </c>
      <c r="B17" s="660">
        <v>16847</v>
      </c>
      <c r="C17" s="660">
        <v>32268</v>
      </c>
      <c r="D17" s="661">
        <f t="shared" ref="D17:D23" si="3">B17+C17</f>
        <v>49115</v>
      </c>
      <c r="E17" s="662">
        <f t="shared" si="0"/>
        <v>0.34301130001018021</v>
      </c>
      <c r="F17" s="663">
        <f t="shared" si="1"/>
        <v>0.65698869998981979</v>
      </c>
    </row>
    <row r="18" spans="1:12">
      <c r="A18" s="659">
        <v>2020</v>
      </c>
      <c r="B18" s="660">
        <v>15459</v>
      </c>
      <c r="C18" s="660">
        <v>24686</v>
      </c>
      <c r="D18" s="661">
        <f t="shared" si="3"/>
        <v>40145</v>
      </c>
      <c r="E18" s="662">
        <f t="shared" si="0"/>
        <v>0.38507908830489473</v>
      </c>
      <c r="F18" s="663">
        <f t="shared" si="1"/>
        <v>0.61492091169510521</v>
      </c>
      <c r="I18" s="307" t="s">
        <v>1</v>
      </c>
    </row>
    <row r="19" spans="1:12">
      <c r="A19" s="659">
        <v>2021</v>
      </c>
      <c r="B19" s="660">
        <v>18828</v>
      </c>
      <c r="C19" s="660">
        <v>28622</v>
      </c>
      <c r="D19" s="661">
        <f t="shared" si="3"/>
        <v>47450</v>
      </c>
      <c r="E19" s="662">
        <f t="shared" si="0"/>
        <v>0.39679662802950472</v>
      </c>
      <c r="F19" s="663">
        <f t="shared" si="1"/>
        <v>0.60320337197049523</v>
      </c>
    </row>
    <row r="20" spans="1:12">
      <c r="A20" s="659">
        <v>2022</v>
      </c>
      <c r="B20" s="660">
        <v>19549</v>
      </c>
      <c r="C20" s="660">
        <v>30046</v>
      </c>
      <c r="D20" s="661">
        <f t="shared" si="3"/>
        <v>49595</v>
      </c>
      <c r="E20" s="662">
        <f t="shared" si="0"/>
        <v>0.39417279967738683</v>
      </c>
      <c r="F20" s="663">
        <f t="shared" si="1"/>
        <v>0.60582720032261317</v>
      </c>
      <c r="G20" s="433"/>
      <c r="H20" s="433"/>
    </row>
    <row r="21" spans="1:12">
      <c r="A21" s="659">
        <v>2023</v>
      </c>
      <c r="B21" s="660">
        <v>16560</v>
      </c>
      <c r="C21" s="660">
        <v>30237</v>
      </c>
      <c r="D21" s="661">
        <f t="shared" si="3"/>
        <v>46797</v>
      </c>
      <c r="E21" s="662">
        <f>B21/D21</f>
        <v>0.35386883774600936</v>
      </c>
      <c r="F21" s="663">
        <f>C21/D21</f>
        <v>0.64613116225399059</v>
      </c>
      <c r="G21" s="433"/>
      <c r="H21" s="433"/>
    </row>
    <row r="22" spans="1:12">
      <c r="A22" s="659">
        <v>2024</v>
      </c>
      <c r="B22" s="660">
        <v>18755</v>
      </c>
      <c r="C22" s="660">
        <v>31477</v>
      </c>
      <c r="D22" s="661">
        <v>50232</v>
      </c>
      <c r="E22" s="662">
        <f>B22/D22</f>
        <v>0.373367574454531</v>
      </c>
      <c r="F22" s="663">
        <f>C22/D22</f>
        <v>0.62663242554546905</v>
      </c>
      <c r="G22" s="433"/>
      <c r="H22" s="433"/>
    </row>
    <row r="23" spans="1:12">
      <c r="A23" s="1793" t="str">
        <f>+'Resumen '!O6</f>
        <v>Abr.2025</v>
      </c>
      <c r="B23" s="660">
        <v>6584</v>
      </c>
      <c r="C23" s="660">
        <v>10165</v>
      </c>
      <c r="D23" s="661">
        <f t="shared" si="3"/>
        <v>16749</v>
      </c>
      <c r="E23" s="662">
        <f t="shared" si="0"/>
        <v>0.39309809540868113</v>
      </c>
      <c r="F23" s="663">
        <f t="shared" si="1"/>
        <v>0.60690190459131887</v>
      </c>
      <c r="G23" s="433"/>
      <c r="H23" s="433"/>
    </row>
    <row r="24" spans="1:12">
      <c r="A24" s="565" t="s">
        <v>235</v>
      </c>
      <c r="B24" s="566">
        <f>SUM(B5:B23)</f>
        <v>201796</v>
      </c>
      <c r="C24" s="566">
        <f>SUM(C5:C23)</f>
        <v>419103</v>
      </c>
      <c r="D24" s="566">
        <f>SUM(D5:D23)</f>
        <v>620899</v>
      </c>
      <c r="E24" s="664">
        <f>B24/D24</f>
        <v>0.32500616042222646</v>
      </c>
      <c r="F24" s="665">
        <f>C24/D24</f>
        <v>0.67499383957777348</v>
      </c>
    </row>
    <row r="27" spans="1:12">
      <c r="L27" s="307">
        <f>+D23-'V.4.5. NA.Cant. accid x sector'!D23</f>
        <v>0</v>
      </c>
    </row>
  </sheetData>
  <mergeCells count="2">
    <mergeCell ref="A2:I2"/>
    <mergeCell ref="A1:I1"/>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23">
    <tabColor rgb="FF66FF33"/>
    <pageSetUpPr fitToPage="1"/>
  </sheetPr>
  <dimension ref="A1:AD26"/>
  <sheetViews>
    <sheetView showGridLines="0" view="pageBreakPreview" zoomScale="70" zoomScaleNormal="100" zoomScaleSheetLayoutView="70" workbookViewId="0">
      <selection activeCell="J9" sqref="J9"/>
    </sheetView>
  </sheetViews>
  <sheetFormatPr defaultColWidth="11.42578125" defaultRowHeight="18"/>
  <cols>
    <col min="1" max="1" width="22.5703125" style="329" customWidth="1"/>
    <col min="2" max="2" width="15.42578125" style="329" customWidth="1"/>
    <col min="3" max="5" width="15.140625" style="329" bestFit="1" customWidth="1"/>
    <col min="6" max="6" width="14.28515625" style="329" customWidth="1"/>
    <col min="7" max="7" width="18.7109375" style="329" customWidth="1"/>
    <col min="8" max="8" width="17.85546875" style="329" customWidth="1"/>
    <col min="9" max="9" width="21.7109375" style="329" customWidth="1"/>
    <col min="10" max="10" width="20.85546875" style="329" customWidth="1"/>
    <col min="11" max="11" width="20" style="329" customWidth="1"/>
    <col min="12" max="12" width="20.5703125" style="329" customWidth="1"/>
    <col min="13" max="13" width="20.7109375" style="329" customWidth="1"/>
    <col min="14" max="14" width="17.7109375" style="329" customWidth="1"/>
    <col min="15" max="15" width="11.42578125" style="329"/>
    <col min="16" max="16" width="21.85546875" style="329" customWidth="1"/>
    <col min="17" max="18" width="11.42578125" style="329" customWidth="1"/>
    <col min="19" max="19" width="11.42578125" style="1917" customWidth="1"/>
    <col min="20" max="29" width="11.42578125" style="329" customWidth="1"/>
    <col min="30" max="30" width="16.140625" style="329" customWidth="1"/>
    <col min="31" max="16384" width="11.42578125" style="329"/>
  </cols>
  <sheetData>
    <row r="1" spans="1:30" s="567" customFormat="1" ht="79.5" customHeight="1">
      <c r="A1" s="2293" t="s">
        <v>1242</v>
      </c>
      <c r="B1" s="2293"/>
      <c r="C1" s="2293"/>
      <c r="D1" s="2293"/>
      <c r="E1" s="2293"/>
      <c r="F1" s="2293"/>
      <c r="G1" s="2293"/>
      <c r="H1" s="2293"/>
      <c r="I1" s="2293"/>
      <c r="J1" s="2293"/>
      <c r="K1" s="2293"/>
      <c r="L1" s="2293"/>
      <c r="M1" s="2293"/>
      <c r="S1" s="1916"/>
    </row>
    <row r="2" spans="1:30" s="567" customFormat="1" ht="24" customHeight="1">
      <c r="A2" s="2293" t="str">
        <f>+'V.4.6. Accid x sexo'!A2:I2</f>
        <v>Período:  Diciembre 2007 - Abril 2025</v>
      </c>
      <c r="B2" s="2293"/>
      <c r="C2" s="2293"/>
      <c r="D2" s="2293"/>
      <c r="E2" s="2293"/>
      <c r="F2" s="2293"/>
      <c r="G2" s="2293"/>
      <c r="H2" s="2293"/>
      <c r="I2" s="2293"/>
      <c r="J2" s="2293"/>
      <c r="K2" s="2293"/>
      <c r="L2" s="2293"/>
      <c r="M2" s="2293"/>
      <c r="S2" s="1916"/>
    </row>
    <row r="3" spans="1:30" ht="13.5" customHeight="1">
      <c r="A3" s="1170"/>
      <c r="B3" s="434"/>
      <c r="C3" s="434"/>
      <c r="D3" s="434"/>
      <c r="E3" s="434"/>
      <c r="F3" s="434"/>
      <c r="G3" s="434"/>
      <c r="H3" s="434"/>
    </row>
    <row r="4" spans="1:30" s="404" customFormat="1" ht="42.75" customHeight="1">
      <c r="A4" s="634" t="s">
        <v>371</v>
      </c>
      <c r="B4" s="900" t="s">
        <v>1243</v>
      </c>
      <c r="C4" s="900" t="s">
        <v>1244</v>
      </c>
      <c r="D4" s="900" t="s">
        <v>1245</v>
      </c>
      <c r="E4" s="900" t="s">
        <v>1246</v>
      </c>
      <c r="F4" s="900" t="s">
        <v>1247</v>
      </c>
      <c r="G4" s="900" t="s">
        <v>1248</v>
      </c>
      <c r="H4" s="901" t="s">
        <v>243</v>
      </c>
      <c r="I4" s="329"/>
      <c r="J4" s="329"/>
      <c r="K4" s="329"/>
      <c r="L4" s="329"/>
      <c r="M4" s="329"/>
      <c r="N4" s="329"/>
      <c r="P4" s="1685" t="s">
        <v>1249</v>
      </c>
      <c r="Q4"/>
      <c r="R4"/>
      <c r="S4" s="1918"/>
      <c r="T4"/>
      <c r="U4"/>
      <c r="V4"/>
      <c r="W4"/>
      <c r="X4"/>
      <c r="Y4"/>
      <c r="Z4"/>
      <c r="AA4"/>
      <c r="AB4"/>
      <c r="AC4"/>
      <c r="AD4"/>
    </row>
    <row r="5" spans="1:30" ht="18.75" customHeight="1">
      <c r="A5" s="639" t="s">
        <v>1250</v>
      </c>
      <c r="B5" s="1755">
        <v>9</v>
      </c>
      <c r="C5" s="1755">
        <v>1413</v>
      </c>
      <c r="D5" s="1755">
        <v>3274</v>
      </c>
      <c r="E5" s="1755">
        <v>2149</v>
      </c>
      <c r="F5" s="1755">
        <v>1123</v>
      </c>
      <c r="G5" s="1755">
        <f>571+5</f>
        <v>576</v>
      </c>
      <c r="H5" s="1756">
        <f>SUM(B5:G5)</f>
        <v>8544</v>
      </c>
      <c r="P5" s="1686"/>
      <c r="Q5"/>
      <c r="R5"/>
      <c r="S5" s="1918"/>
      <c r="T5"/>
      <c r="U5"/>
      <c r="V5"/>
      <c r="W5"/>
      <c r="X5"/>
      <c r="Y5"/>
      <c r="Z5"/>
      <c r="AA5"/>
      <c r="AB5"/>
      <c r="AC5"/>
      <c r="AD5"/>
    </row>
    <row r="6" spans="1:30" ht="18.75" thickBot="1">
      <c r="A6" s="639" t="s">
        <v>437</v>
      </c>
      <c r="B6" s="1755">
        <v>7</v>
      </c>
      <c r="C6" s="1755">
        <v>1031</v>
      </c>
      <c r="D6" s="1755">
        <v>4066</v>
      </c>
      <c r="E6" s="1755">
        <v>3112</v>
      </c>
      <c r="F6" s="1755">
        <v>1708</v>
      </c>
      <c r="G6" s="1755">
        <v>1053</v>
      </c>
      <c r="H6" s="1756">
        <f>SUM(B6:G6)</f>
        <v>10977</v>
      </c>
      <c r="P6" s="1254" t="s">
        <v>1251</v>
      </c>
      <c r="Q6" s="1274" t="s">
        <v>1185</v>
      </c>
      <c r="R6" s="1274" t="s">
        <v>1186</v>
      </c>
      <c r="S6" s="1915"/>
      <c r="T6" s="1274" t="s">
        <v>1187</v>
      </c>
      <c r="U6" s="1274" t="s">
        <v>1188</v>
      </c>
      <c r="V6" s="1274" t="s">
        <v>1252</v>
      </c>
      <c r="W6" s="1274" t="s">
        <v>1253</v>
      </c>
      <c r="X6" s="1274" t="s">
        <v>1254</v>
      </c>
      <c r="Y6" s="1274" t="s">
        <v>1255</v>
      </c>
      <c r="Z6" s="1274" t="s">
        <v>1256</v>
      </c>
      <c r="AA6" s="1274" t="s">
        <v>1257</v>
      </c>
      <c r="AB6" s="1274" t="s">
        <v>1258</v>
      </c>
      <c r="AC6" s="1274" t="s">
        <v>1259</v>
      </c>
      <c r="AD6" s="1275" t="s">
        <v>235</v>
      </c>
    </row>
    <row r="7" spans="1:30" ht="18.75" thickBot="1">
      <c r="A7" s="639" t="s">
        <v>438</v>
      </c>
      <c r="B7" s="1755">
        <v>2</v>
      </c>
      <c r="C7" s="1755">
        <v>2024</v>
      </c>
      <c r="D7" s="1755">
        <v>5530</v>
      </c>
      <c r="E7" s="1755">
        <v>3839</v>
      </c>
      <c r="F7" s="1755">
        <v>2108</v>
      </c>
      <c r="G7" s="1755">
        <v>1180</v>
      </c>
      <c r="H7" s="1756">
        <f>SUM(B7:G7)</f>
        <v>14683</v>
      </c>
      <c r="P7" s="1255" t="s">
        <v>1260</v>
      </c>
      <c r="Q7" s="1273">
        <v>56</v>
      </c>
      <c r="R7" s="1273">
        <v>45</v>
      </c>
      <c r="S7" s="1910">
        <f t="shared" ref="S7:S12" si="0">SUM(Q7:R7)</f>
        <v>101</v>
      </c>
      <c r="T7" s="1273">
        <v>53</v>
      </c>
      <c r="U7" s="1273">
        <v>0</v>
      </c>
      <c r="V7" s="1273">
        <v>0</v>
      </c>
      <c r="W7" s="1273">
        <v>0</v>
      </c>
      <c r="X7" s="1273">
        <v>0</v>
      </c>
      <c r="Y7" s="1273">
        <v>0</v>
      </c>
      <c r="Z7" s="1273">
        <v>0</v>
      </c>
      <c r="AA7" s="1273">
        <v>0</v>
      </c>
      <c r="AB7" s="1273">
        <v>0</v>
      </c>
      <c r="AC7" s="1273">
        <v>0</v>
      </c>
      <c r="AD7" s="1276">
        <v>154</v>
      </c>
    </row>
    <row r="8" spans="1:30" ht="18.75" thickBot="1">
      <c r="A8" s="639" t="s">
        <v>440</v>
      </c>
      <c r="B8" s="1755">
        <v>0</v>
      </c>
      <c r="C8" s="1755">
        <v>3154</v>
      </c>
      <c r="D8" s="1755">
        <v>6350</v>
      </c>
      <c r="E8" s="1755">
        <v>4256</v>
      </c>
      <c r="F8" s="1755">
        <v>2407</v>
      </c>
      <c r="G8" s="1755">
        <v>1289</v>
      </c>
      <c r="H8" s="1756">
        <f>SUM(B8:G8)</f>
        <v>17456</v>
      </c>
      <c r="P8" s="1255" t="s">
        <v>1261</v>
      </c>
      <c r="Q8" s="1273">
        <v>1428</v>
      </c>
      <c r="R8" s="1273">
        <v>1425</v>
      </c>
      <c r="S8" s="1910">
        <f t="shared" si="0"/>
        <v>2853</v>
      </c>
      <c r="T8" s="1273">
        <v>1307</v>
      </c>
      <c r="U8" s="1273">
        <v>0</v>
      </c>
      <c r="V8" s="1273">
        <v>0</v>
      </c>
      <c r="W8" s="1273">
        <v>0</v>
      </c>
      <c r="X8" s="1273">
        <v>0</v>
      </c>
      <c r="Y8" s="1273">
        <v>0</v>
      </c>
      <c r="Z8" s="1273">
        <v>0</v>
      </c>
      <c r="AA8" s="1273">
        <v>0</v>
      </c>
      <c r="AB8" s="1273">
        <v>0</v>
      </c>
      <c r="AC8" s="1273">
        <v>0</v>
      </c>
      <c r="AD8" s="1276">
        <v>4160</v>
      </c>
    </row>
    <row r="9" spans="1:30" ht="18.75" thickBot="1">
      <c r="A9" s="639">
        <v>2011</v>
      </c>
      <c r="B9" s="1755">
        <v>6</v>
      </c>
      <c r="C9" s="1755">
        <v>4931</v>
      </c>
      <c r="D9" s="1755">
        <v>7715</v>
      </c>
      <c r="E9" s="1755">
        <v>5319</v>
      </c>
      <c r="F9" s="1755">
        <v>3017</v>
      </c>
      <c r="G9" s="1755">
        <v>1609</v>
      </c>
      <c r="H9" s="1756">
        <f>SUM(B9:G9)</f>
        <v>22597</v>
      </c>
      <c r="P9" s="1255" t="s">
        <v>1262</v>
      </c>
      <c r="Q9" s="1273">
        <v>1207</v>
      </c>
      <c r="R9" s="1273">
        <v>1206</v>
      </c>
      <c r="S9" s="1910">
        <f t="shared" si="0"/>
        <v>2413</v>
      </c>
      <c r="T9" s="1273">
        <v>1176</v>
      </c>
      <c r="U9" s="1273">
        <v>0</v>
      </c>
      <c r="V9" s="1273">
        <v>0</v>
      </c>
      <c r="W9" s="1273">
        <v>0</v>
      </c>
      <c r="X9" s="1273">
        <v>0</v>
      </c>
      <c r="Y9" s="1273">
        <v>0</v>
      </c>
      <c r="Z9" s="1273">
        <v>0</v>
      </c>
      <c r="AA9" s="1273">
        <v>0</v>
      </c>
      <c r="AB9" s="1273">
        <v>0</v>
      </c>
      <c r="AC9" s="1273">
        <v>0</v>
      </c>
      <c r="AD9" s="1276">
        <v>3589</v>
      </c>
    </row>
    <row r="10" spans="1:30" ht="18" customHeight="1" thickBot="1">
      <c r="A10" s="639" t="s">
        <v>443</v>
      </c>
      <c r="B10" s="1755">
        <v>18</v>
      </c>
      <c r="C10" s="1755">
        <v>6875</v>
      </c>
      <c r="D10" s="1755">
        <v>8611</v>
      </c>
      <c r="E10" s="1755">
        <v>5883</v>
      </c>
      <c r="F10" s="1755">
        <v>3457</v>
      </c>
      <c r="G10" s="1755">
        <v>1844</v>
      </c>
      <c r="H10" s="1756">
        <f t="shared" ref="H10:H15" si="1">SUM(B10:G10)</f>
        <v>26688</v>
      </c>
      <c r="P10" s="1255" t="s">
        <v>1263</v>
      </c>
      <c r="Q10" s="1273">
        <v>728</v>
      </c>
      <c r="R10" s="1273">
        <v>739</v>
      </c>
      <c r="S10" s="1910">
        <f t="shared" si="0"/>
        <v>1467</v>
      </c>
      <c r="T10" s="1273">
        <v>688</v>
      </c>
      <c r="U10" s="1273">
        <v>0</v>
      </c>
      <c r="V10" s="1273">
        <v>0</v>
      </c>
      <c r="W10" s="1273">
        <v>0</v>
      </c>
      <c r="X10" s="1273">
        <v>0</v>
      </c>
      <c r="Y10" s="1273">
        <v>0</v>
      </c>
      <c r="Z10" s="1273">
        <v>0</v>
      </c>
      <c r="AA10" s="1273">
        <v>0</v>
      </c>
      <c r="AB10" s="1273">
        <v>0</v>
      </c>
      <c r="AC10" s="1273">
        <v>0</v>
      </c>
      <c r="AD10" s="1276">
        <v>2155</v>
      </c>
    </row>
    <row r="11" spans="1:30" ht="18.75" customHeight="1" thickBot="1">
      <c r="A11" s="639" t="s">
        <v>444</v>
      </c>
      <c r="B11" s="1755">
        <v>34</v>
      </c>
      <c r="C11" s="1755">
        <v>8429</v>
      </c>
      <c r="D11" s="1755">
        <v>8946</v>
      </c>
      <c r="E11" s="1755">
        <v>5876</v>
      </c>
      <c r="F11" s="1755">
        <v>3510</v>
      </c>
      <c r="G11" s="1755">
        <v>1840</v>
      </c>
      <c r="H11" s="1756">
        <f t="shared" si="1"/>
        <v>28635</v>
      </c>
      <c r="P11" s="1255" t="s">
        <v>1264</v>
      </c>
      <c r="Q11" s="1273">
        <v>412</v>
      </c>
      <c r="R11" s="1273">
        <v>408</v>
      </c>
      <c r="S11" s="1910">
        <f t="shared" si="0"/>
        <v>820</v>
      </c>
      <c r="T11" s="1273">
        <v>411</v>
      </c>
      <c r="U11" s="1273">
        <v>0</v>
      </c>
      <c r="V11" s="1273">
        <v>0</v>
      </c>
      <c r="W11" s="1273">
        <v>0</v>
      </c>
      <c r="X11" s="1273">
        <v>0</v>
      </c>
      <c r="Y11" s="1273">
        <v>0</v>
      </c>
      <c r="Z11" s="1273">
        <v>0</v>
      </c>
      <c r="AA11" s="1273">
        <v>0</v>
      </c>
      <c r="AB11" s="1273">
        <v>0</v>
      </c>
      <c r="AC11" s="1273">
        <v>0</v>
      </c>
      <c r="AD11" s="1276">
        <v>1231</v>
      </c>
    </row>
    <row r="12" spans="1:30" ht="17.25" customHeight="1">
      <c r="A12" s="639" t="s">
        <v>445</v>
      </c>
      <c r="B12" s="1755">
        <v>80</v>
      </c>
      <c r="C12" s="1755">
        <v>9624</v>
      </c>
      <c r="D12" s="1755">
        <v>8806</v>
      </c>
      <c r="E12" s="1755">
        <v>6269</v>
      </c>
      <c r="F12" s="1755">
        <v>3876</v>
      </c>
      <c r="G12" s="1755">
        <v>2377</v>
      </c>
      <c r="H12" s="1756">
        <f t="shared" si="1"/>
        <v>31032</v>
      </c>
      <c r="P12" s="1256" t="s">
        <v>1265</v>
      </c>
      <c r="Q12" s="1277">
        <v>187</v>
      </c>
      <c r="R12" s="1277">
        <v>173</v>
      </c>
      <c r="S12" s="1919">
        <f t="shared" si="0"/>
        <v>360</v>
      </c>
      <c r="T12" s="1277">
        <v>152</v>
      </c>
      <c r="U12" s="1277">
        <v>0</v>
      </c>
      <c r="V12" s="1277">
        <v>0</v>
      </c>
      <c r="W12" s="1277">
        <v>0</v>
      </c>
      <c r="X12" s="1277">
        <v>0</v>
      </c>
      <c r="Y12" s="1277">
        <v>0</v>
      </c>
      <c r="Z12" s="1277">
        <v>0</v>
      </c>
      <c r="AA12" s="1277">
        <v>0</v>
      </c>
      <c r="AB12" s="1277">
        <v>0</v>
      </c>
      <c r="AC12" s="1277">
        <v>0</v>
      </c>
      <c r="AD12" s="1278">
        <v>512</v>
      </c>
    </row>
    <row r="13" spans="1:30" ht="16.5" customHeight="1">
      <c r="A13" s="639" t="s">
        <v>447</v>
      </c>
      <c r="B13" s="1755">
        <v>165</v>
      </c>
      <c r="C13" s="1755">
        <v>12019</v>
      </c>
      <c r="D13" s="1755">
        <v>10377</v>
      </c>
      <c r="E13" s="1755">
        <v>6571</v>
      </c>
      <c r="F13" s="1755">
        <v>3782</v>
      </c>
      <c r="G13" s="1755">
        <v>1635</v>
      </c>
      <c r="H13" s="1756">
        <f t="shared" si="1"/>
        <v>34549</v>
      </c>
      <c r="AD13" s="329">
        <f>SUM(AD7:AD12)</f>
        <v>11801</v>
      </c>
    </row>
    <row r="14" spans="1:30" ht="16.5" customHeight="1">
      <c r="A14" s="639" t="s">
        <v>448</v>
      </c>
      <c r="B14" s="1755">
        <v>153</v>
      </c>
      <c r="C14" s="1755">
        <v>13830</v>
      </c>
      <c r="D14" s="1755">
        <v>11563</v>
      </c>
      <c r="E14" s="1755">
        <v>7417</v>
      </c>
      <c r="F14" s="1755">
        <v>4270</v>
      </c>
      <c r="G14" s="1755">
        <v>1623</v>
      </c>
      <c r="H14" s="1756">
        <f t="shared" si="1"/>
        <v>38856</v>
      </c>
    </row>
    <row r="15" spans="1:30">
      <c r="A15" s="639" t="s">
        <v>449</v>
      </c>
      <c r="B15" s="1755">
        <v>189</v>
      </c>
      <c r="C15" s="1755">
        <v>15003</v>
      </c>
      <c r="D15" s="1755">
        <v>12102</v>
      </c>
      <c r="E15" s="1755">
        <v>7868</v>
      </c>
      <c r="F15" s="1755">
        <v>4631</v>
      </c>
      <c r="G15" s="1755">
        <v>1696</v>
      </c>
      <c r="H15" s="1756">
        <f t="shared" si="1"/>
        <v>41489</v>
      </c>
    </row>
    <row r="16" spans="1:30">
      <c r="A16" s="639" t="s">
        <v>450</v>
      </c>
      <c r="B16" s="1757">
        <v>160</v>
      </c>
      <c r="C16" s="1757">
        <v>16268</v>
      </c>
      <c r="D16" s="1757">
        <v>13433</v>
      </c>
      <c r="E16" s="1757">
        <v>8648</v>
      </c>
      <c r="F16" s="1757">
        <v>5102</v>
      </c>
      <c r="G16" s="1757">
        <v>1859</v>
      </c>
      <c r="H16" s="1758">
        <f>SUM(B16:G16)</f>
        <v>45470</v>
      </c>
    </row>
    <row r="17" spans="1:19">
      <c r="A17" s="639" t="s">
        <v>451</v>
      </c>
      <c r="B17" s="1757">
        <v>147</v>
      </c>
      <c r="C17" s="1757">
        <v>17232</v>
      </c>
      <c r="D17" s="1757">
        <v>14644</v>
      </c>
      <c r="E17" s="1757">
        <v>9524</v>
      </c>
      <c r="F17" s="1757">
        <v>5494</v>
      </c>
      <c r="G17" s="1757">
        <v>2107</v>
      </c>
      <c r="H17" s="1758">
        <f>SUM(B17:G17)</f>
        <v>49148</v>
      </c>
    </row>
    <row r="18" spans="1:19">
      <c r="A18" s="639" t="s">
        <v>452</v>
      </c>
      <c r="B18" s="1757">
        <v>84</v>
      </c>
      <c r="C18" s="1757">
        <v>12952</v>
      </c>
      <c r="D18" s="1757">
        <v>12784</v>
      </c>
      <c r="E18" s="1757">
        <v>8100</v>
      </c>
      <c r="F18" s="1757">
        <v>4681</v>
      </c>
      <c r="G18" s="1757">
        <v>1544</v>
      </c>
      <c r="H18" s="1758">
        <f>SUM(B18:G18)</f>
        <v>40145</v>
      </c>
    </row>
    <row r="19" spans="1:19">
      <c r="A19" s="638">
        <v>2021</v>
      </c>
      <c r="B19" s="1757">
        <v>135</v>
      </c>
      <c r="C19" s="1757">
        <v>15071</v>
      </c>
      <c r="D19" s="1757">
        <v>15016</v>
      </c>
      <c r="E19" s="1757">
        <v>9465</v>
      </c>
      <c r="F19" s="1757">
        <v>5623</v>
      </c>
      <c r="G19" s="1757">
        <v>2140</v>
      </c>
      <c r="H19" s="1758">
        <f>SUM(B19:G19)</f>
        <v>47450</v>
      </c>
      <c r="N19" s="329">
        <f>+H23-'V.4.2.NA. Reportes ARL'!D23</f>
        <v>0</v>
      </c>
    </row>
    <row r="20" spans="1:19">
      <c r="A20" s="638">
        <v>2022</v>
      </c>
      <c r="B20" s="1757">
        <v>163</v>
      </c>
      <c r="C20" s="1757">
        <v>16256</v>
      </c>
      <c r="D20" s="1757">
        <v>15489</v>
      </c>
      <c r="E20" s="1757">
        <v>9689</v>
      </c>
      <c r="F20" s="1757">
        <v>5679</v>
      </c>
      <c r="G20" s="1757">
        <v>2319</v>
      </c>
      <c r="H20" s="1758">
        <v>49595</v>
      </c>
    </row>
    <row r="21" spans="1:19">
      <c r="A21" s="1794">
        <f>+Tabla47[[#This Row],[Año ]]</f>
        <v>2023</v>
      </c>
      <c r="B21" s="1795">
        <v>157</v>
      </c>
      <c r="C21" s="1795">
        <v>16181</v>
      </c>
      <c r="D21" s="1795">
        <v>14600</v>
      </c>
      <c r="E21" s="1795">
        <v>8845</v>
      </c>
      <c r="F21" s="1795">
        <v>4967</v>
      </c>
      <c r="G21" s="1795">
        <v>2047</v>
      </c>
      <c r="H21" s="1796">
        <f>SUM(B21:G21)</f>
        <v>46797</v>
      </c>
    </row>
    <row r="22" spans="1:19">
      <c r="A22" s="1794">
        <v>2024</v>
      </c>
      <c r="B22" s="1795">
        <v>180</v>
      </c>
      <c r="C22" s="1795">
        <v>17101</v>
      </c>
      <c r="D22" s="1795">
        <v>15917</v>
      </c>
      <c r="E22" s="1795">
        <v>9352</v>
      </c>
      <c r="F22" s="1795">
        <v>5509</v>
      </c>
      <c r="G22" s="1795">
        <v>2173</v>
      </c>
      <c r="H22" s="1796">
        <f t="shared" ref="H22" si="2">SUM(B22:G22)</f>
        <v>50232</v>
      </c>
    </row>
    <row r="23" spans="1:19" s="404" customFormat="1" ht="20.25" customHeight="1">
      <c r="A23" s="1797" t="str">
        <f>+'Resumen '!O6</f>
        <v>Abr.2025</v>
      </c>
      <c r="B23" s="1795">
        <v>244</v>
      </c>
      <c r="C23" s="1795">
        <v>5924</v>
      </c>
      <c r="D23" s="1795">
        <v>5061</v>
      </c>
      <c r="E23" s="1795">
        <v>2995</v>
      </c>
      <c r="F23" s="1795">
        <v>1817</v>
      </c>
      <c r="G23" s="1795">
        <v>708</v>
      </c>
      <c r="H23" s="1796">
        <f>SUM(B23:G23)</f>
        <v>16749</v>
      </c>
      <c r="I23" s="329"/>
      <c r="J23" s="329"/>
      <c r="K23" s="329"/>
      <c r="L23" s="329"/>
      <c r="M23" s="329"/>
      <c r="N23" s="329"/>
      <c r="S23" s="1920"/>
    </row>
    <row r="24" spans="1:19">
      <c r="A24" s="902" t="s">
        <v>235</v>
      </c>
      <c r="B24" s="1759">
        <f>SUM(B5:B23)</f>
        <v>1933</v>
      </c>
      <c r="C24" s="1759">
        <f t="shared" ref="C24:H24" si="3">SUM(C5:C23)</f>
        <v>195318</v>
      </c>
      <c r="D24" s="1759">
        <f t="shared" si="3"/>
        <v>194284</v>
      </c>
      <c r="E24" s="1759">
        <f t="shared" si="3"/>
        <v>125177</v>
      </c>
      <c r="F24" s="1759">
        <f t="shared" si="3"/>
        <v>72761</v>
      </c>
      <c r="G24" s="1759">
        <f t="shared" si="3"/>
        <v>31619</v>
      </c>
      <c r="H24" s="1759">
        <f t="shared" si="3"/>
        <v>621092</v>
      </c>
    </row>
    <row r="25" spans="1:19">
      <c r="A25" s="1253"/>
      <c r="B25" s="1760">
        <f>+B24/$H$24</f>
        <v>3.1122603414631004E-3</v>
      </c>
      <c r="C25" s="1760">
        <f t="shared" ref="C25:H25" si="4">+C24/$H$24</f>
        <v>0.31447515021929118</v>
      </c>
      <c r="D25" s="1760">
        <f t="shared" si="4"/>
        <v>0.31281034049706002</v>
      </c>
      <c r="E25" s="1760">
        <f t="shared" si="4"/>
        <v>0.20154341063803752</v>
      </c>
      <c r="F25" s="1760">
        <f t="shared" si="4"/>
        <v>0.11715011624686841</v>
      </c>
      <c r="G25" s="1760">
        <f t="shared" si="4"/>
        <v>5.0908722057279761E-2</v>
      </c>
      <c r="H25" s="1761">
        <f t="shared" si="4"/>
        <v>1</v>
      </c>
      <c r="J25" s="571"/>
    </row>
    <row r="26" spans="1:19">
      <c r="A26" s="2370" t="s">
        <v>1266</v>
      </c>
      <c r="B26" s="2371"/>
      <c r="C26" s="2371"/>
      <c r="D26" s="2371"/>
      <c r="E26" s="2371"/>
      <c r="F26" s="2371"/>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45">
    <tabColor rgb="FF7030A0"/>
    <pageSetUpPr fitToPage="1"/>
  </sheetPr>
  <dimension ref="A2:AD47"/>
  <sheetViews>
    <sheetView showGridLines="0" view="pageBreakPreview" zoomScale="85" zoomScaleNormal="100" zoomScaleSheetLayoutView="85" workbookViewId="0">
      <selection activeCell="A5" sqref="A5"/>
    </sheetView>
  </sheetViews>
  <sheetFormatPr defaultColWidth="11.42578125" defaultRowHeight="15.7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 min="12" max="12" width="67.85546875" style="36" customWidth="1"/>
    <col min="13" max="13" width="12.7109375" style="36" bestFit="1" customWidth="1"/>
    <col min="14" max="14" width="19.28515625" style="36" customWidth="1"/>
    <col min="15" max="15" width="13.7109375" style="36" bestFit="1" customWidth="1"/>
    <col min="16" max="16" width="13.5703125" style="36" bestFit="1" customWidth="1"/>
  </cols>
  <sheetData>
    <row r="2" spans="1:30" ht="17.25" customHeight="1"/>
    <row r="3" spans="1:30" ht="17.25" customHeight="1"/>
    <row r="5" spans="1:30" ht="21" customHeight="1">
      <c r="A5" s="2199" t="s">
        <v>1267</v>
      </c>
      <c r="B5" s="2199"/>
      <c r="C5" s="2199"/>
      <c r="D5" s="2199"/>
      <c r="E5" s="2199"/>
      <c r="F5" s="2199"/>
      <c r="G5" s="2199"/>
      <c r="H5" s="2199"/>
      <c r="I5" s="2199"/>
      <c r="J5" s="2199"/>
      <c r="P5"/>
    </row>
    <row r="6" spans="1:30" ht="15.75" customHeight="1">
      <c r="A6" s="2199"/>
      <c r="B6" s="2199"/>
      <c r="C6" s="2199"/>
      <c r="D6" s="2199"/>
      <c r="E6" s="2199"/>
      <c r="F6" s="2199"/>
      <c r="G6" s="2199"/>
      <c r="H6" s="2199"/>
      <c r="I6" s="2199"/>
      <c r="J6" s="2199"/>
      <c r="P6"/>
      <c r="Q6" s="1763" t="s">
        <v>1268</v>
      </c>
      <c r="R6" s="1764"/>
      <c r="S6" s="1764"/>
      <c r="T6" s="1764"/>
      <c r="U6" s="1764"/>
      <c r="V6" s="1764"/>
      <c r="W6" s="1764"/>
      <c r="X6" s="1764"/>
      <c r="Y6" s="1764"/>
      <c r="Z6" s="1764"/>
      <c r="AA6" s="1764"/>
      <c r="AB6" s="1764"/>
    </row>
    <row r="7" spans="1:30" ht="15.75" customHeight="1">
      <c r="A7" s="2199"/>
      <c r="B7" s="2199"/>
      <c r="C7" s="2199"/>
      <c r="D7" s="2199"/>
      <c r="E7" s="2199"/>
      <c r="F7" s="2199"/>
      <c r="G7" s="2199"/>
      <c r="H7" s="2199"/>
      <c r="I7" s="2199"/>
      <c r="J7" s="2199"/>
      <c r="L7" s="1572" t="str">
        <f>+Tabla55[[#Headers],[Solicitudes]]</f>
        <v>Solicitudes</v>
      </c>
      <c r="M7" s="1811" t="s">
        <v>594</v>
      </c>
      <c r="N7" s="1811" t="s">
        <v>1269</v>
      </c>
      <c r="O7" s="1811" t="s">
        <v>235</v>
      </c>
      <c r="P7"/>
      <c r="Q7" s="1764"/>
      <c r="R7" s="1764"/>
      <c r="S7" s="1764"/>
      <c r="T7" s="1764"/>
      <c r="U7" s="1764"/>
      <c r="V7" s="1764"/>
      <c r="W7" s="1764"/>
      <c r="X7" s="1764"/>
      <c r="Y7" s="1764"/>
      <c r="Z7" s="1764"/>
      <c r="AA7" s="1764"/>
      <c r="AB7" s="1764"/>
    </row>
    <row r="8" spans="1:30" ht="15.75" customHeight="1">
      <c r="A8" s="2199"/>
      <c r="B8" s="2199"/>
      <c r="C8" s="2199"/>
      <c r="D8" s="2199"/>
      <c r="E8" s="2199"/>
      <c r="F8" s="2199"/>
      <c r="G8" s="2199"/>
      <c r="H8" s="2199"/>
      <c r="I8" s="2199"/>
      <c r="J8" s="2199"/>
      <c r="L8" s="1572" t="str">
        <f>+'VII.2.CBSS-Tramit.'!A5</f>
        <v xml:space="preserve">Introducción </v>
      </c>
      <c r="M8" s="1812">
        <v>2840</v>
      </c>
      <c r="N8" s="1812">
        <f>+'VII.2.CBSS-Tramit.'!C5</f>
        <v>846</v>
      </c>
      <c r="O8" s="1813">
        <f>SUM(M8:N8)</f>
        <v>3686</v>
      </c>
      <c r="P8"/>
      <c r="Q8" s="1764"/>
      <c r="R8" s="1764"/>
      <c r="S8" s="1764"/>
      <c r="T8" s="1764"/>
      <c r="U8" s="1764"/>
      <c r="V8" s="1764"/>
      <c r="W8" s="1764"/>
      <c r="X8" s="1764"/>
      <c r="Y8" s="1764"/>
      <c r="Z8" s="1764"/>
      <c r="AA8" s="1764"/>
      <c r="AB8" s="1764"/>
    </row>
    <row r="9" spans="1:30" ht="15.75" customHeight="1">
      <c r="A9" s="2199"/>
      <c r="B9" s="2199"/>
      <c r="C9" s="2199"/>
      <c r="D9" s="2199"/>
      <c r="E9" s="2199"/>
      <c r="F9" s="2199"/>
      <c r="G9" s="2199"/>
      <c r="H9" s="2199"/>
      <c r="I9" s="2199"/>
      <c r="J9" s="2199"/>
      <c r="L9" s="1572" t="str">
        <f>+'VII.2.CBSS-Tramit.'!A6</f>
        <v xml:space="preserve">Gestiones realizadas  </v>
      </c>
      <c r="M9" s="1812">
        <v>14484</v>
      </c>
      <c r="N9" s="1812">
        <f>+'VII.2.CBSS-Tramit.'!C6</f>
        <v>3364</v>
      </c>
      <c r="O9" s="1813">
        <f>SUM(M9:N9)</f>
        <v>17848</v>
      </c>
      <c r="P9"/>
      <c r="Q9" s="1764"/>
      <c r="R9" s="1764"/>
      <c r="S9" s="1764"/>
      <c r="T9" s="1764"/>
      <c r="U9" s="1764"/>
      <c r="V9" s="1764"/>
      <c r="W9" s="1764"/>
      <c r="X9" s="1764"/>
      <c r="Y9" s="1764"/>
      <c r="Z9" s="1764"/>
      <c r="AA9" s="1764"/>
      <c r="AB9" s="1764"/>
    </row>
    <row r="10" spans="1:30" ht="15.75" customHeight="1">
      <c r="A10" s="2199"/>
      <c r="B10" s="2199"/>
      <c r="C10" s="2199"/>
      <c r="D10" s="2199"/>
      <c r="E10" s="2199"/>
      <c r="F10" s="2199"/>
      <c r="G10" s="2199"/>
      <c r="H10" s="2199"/>
      <c r="I10" s="2199"/>
      <c r="J10" s="2199"/>
      <c r="L10" s="1572" t="str">
        <f>+'VII.2.CBSS-Tramit.'!A7</f>
        <v xml:space="preserve">Atención a usuarios </v>
      </c>
      <c r="M10" s="1812">
        <v>2396</v>
      </c>
      <c r="N10" s="1812">
        <f>+'VII.2.CBSS-Tramit.'!C7</f>
        <v>681</v>
      </c>
      <c r="O10" s="1813">
        <f>SUM(M10:N10)</f>
        <v>3077</v>
      </c>
      <c r="P10"/>
      <c r="Q10" s="1764"/>
      <c r="R10" s="1764"/>
      <c r="S10" s="1764"/>
      <c r="T10" s="1764"/>
      <c r="U10" s="1764"/>
      <c r="V10" s="1764"/>
      <c r="W10" s="1764"/>
      <c r="X10" s="1764"/>
      <c r="Y10" s="1764"/>
      <c r="Z10" s="1764"/>
      <c r="AA10" s="1764"/>
      <c r="AB10" s="1764"/>
    </row>
    <row r="11" spans="1:30" ht="15.75" customHeight="1">
      <c r="A11" s="2199"/>
      <c r="B11" s="2199"/>
      <c r="C11" s="2199"/>
      <c r="D11" s="2199"/>
      <c r="E11" s="2199"/>
      <c r="F11" s="2199"/>
      <c r="G11" s="2199"/>
      <c r="H11" s="2199"/>
      <c r="I11" s="2199"/>
      <c r="J11" s="2199"/>
      <c r="L11" s="1572" t="str">
        <f>+'VII.2.CBSS-Tramit.'!A8</f>
        <v xml:space="preserve">Expedientes concluidos </v>
      </c>
      <c r="M11" s="1812">
        <v>1847</v>
      </c>
      <c r="N11" s="1812">
        <f>+'VII.2.CBSS-Tramit.'!C8</f>
        <v>331</v>
      </c>
      <c r="O11" s="1813">
        <f>SUM(M11:N11)</f>
        <v>2178</v>
      </c>
      <c r="P11"/>
      <c r="Q11" s="1764"/>
      <c r="R11" s="1764"/>
      <c r="S11" s="1764"/>
      <c r="T11" s="1764"/>
      <c r="U11" s="1764"/>
      <c r="V11" s="1764"/>
      <c r="W11" s="1764"/>
      <c r="X11" s="1764"/>
      <c r="Y11" s="1764"/>
      <c r="Z11" s="1764"/>
      <c r="AA11" s="1764"/>
      <c r="AB11" s="1764"/>
    </row>
    <row r="12" spans="1:30" ht="15.75" customHeight="1">
      <c r="A12" s="2199"/>
      <c r="B12" s="2199"/>
      <c r="C12" s="2199"/>
      <c r="D12" s="2199"/>
      <c r="E12" s="2199"/>
      <c r="F12" s="2199"/>
      <c r="G12" s="2199"/>
      <c r="H12" s="2199"/>
      <c r="I12" s="2199"/>
      <c r="J12" s="2199"/>
      <c r="P12"/>
      <c r="Q12" s="1764"/>
      <c r="R12" s="1764"/>
      <c r="S12" s="1764"/>
      <c r="T12" s="1764"/>
      <c r="U12" s="1764"/>
      <c r="V12" s="1764"/>
      <c r="W12" s="1764"/>
      <c r="X12" s="1764"/>
      <c r="Y12" s="1764"/>
      <c r="Z12" s="1764"/>
      <c r="AA12" s="1764"/>
      <c r="AB12" s="1764"/>
    </row>
    <row r="13" spans="1:30" ht="15.75" customHeight="1">
      <c r="A13" s="2199"/>
      <c r="B13" s="2199"/>
      <c r="C13" s="2199"/>
      <c r="D13" s="2199"/>
      <c r="E13" s="2199"/>
      <c r="F13" s="2199"/>
      <c r="G13" s="2199"/>
      <c r="H13" s="2199"/>
      <c r="I13" s="2199"/>
      <c r="J13" s="2199"/>
      <c r="P13"/>
      <c r="Q13" s="1764"/>
      <c r="R13" s="1764"/>
      <c r="S13" s="1764"/>
      <c r="T13" s="1764"/>
      <c r="U13" s="1764"/>
      <c r="V13" s="1764"/>
      <c r="W13" s="1764"/>
      <c r="X13" s="1764"/>
      <c r="Y13" s="1764"/>
      <c r="Z13" s="1764"/>
      <c r="AA13" s="1764"/>
      <c r="AB13" s="1764"/>
    </row>
    <row r="14" spans="1:30" ht="15.75" customHeight="1">
      <c r="A14" s="2199"/>
      <c r="B14" s="2199"/>
      <c r="C14" s="2199"/>
      <c r="D14" s="2199"/>
      <c r="E14" s="2199"/>
      <c r="F14" s="2199"/>
      <c r="G14" s="2199"/>
      <c r="H14" s="2199"/>
      <c r="I14" s="2199"/>
      <c r="J14" s="2199"/>
      <c r="S14" s="1764"/>
      <c r="T14" s="1764"/>
      <c r="U14" s="1764"/>
      <c r="V14" s="1764"/>
      <c r="W14" s="1764"/>
      <c r="X14" s="1764"/>
      <c r="Y14" s="1764"/>
      <c r="Z14" s="1764"/>
      <c r="AA14" s="1764"/>
      <c r="AB14" s="1764"/>
      <c r="AC14" s="1764"/>
      <c r="AD14" s="1764"/>
    </row>
    <row r="15" spans="1:30" ht="27.75" customHeight="1">
      <c r="A15" s="2199"/>
      <c r="B15" s="2199"/>
      <c r="C15" s="2199"/>
      <c r="D15" s="2199"/>
      <c r="E15" s="2199"/>
      <c r="F15" s="2199"/>
      <c r="G15" s="2199"/>
      <c r="H15" s="2199"/>
      <c r="I15" s="2199"/>
      <c r="J15" s="2199"/>
      <c r="S15" s="1764"/>
      <c r="T15" s="1764"/>
      <c r="U15" s="1764"/>
      <c r="V15" s="1764"/>
      <c r="W15" s="1764"/>
      <c r="X15" s="1764"/>
      <c r="Y15" s="1764"/>
      <c r="Z15" s="1764"/>
      <c r="AA15" s="1764"/>
      <c r="AB15" s="1764"/>
      <c r="AC15" s="1764"/>
      <c r="AD15" s="1764"/>
    </row>
    <row r="16" spans="1:30" ht="15.75" customHeight="1">
      <c r="A16" s="2199"/>
      <c r="B16" s="2199"/>
      <c r="C16" s="2199"/>
      <c r="D16" s="2199"/>
      <c r="E16" s="2199"/>
      <c r="F16" s="2199"/>
      <c r="G16" s="2199"/>
      <c r="H16" s="2199"/>
      <c r="I16" s="2199"/>
      <c r="J16" s="2199"/>
      <c r="L16" s="1565" t="s">
        <v>1270</v>
      </c>
      <c r="M16" s="1565" t="s">
        <v>594</v>
      </c>
      <c r="N16" s="1565" t="s">
        <v>1271</v>
      </c>
      <c r="O16" s="1565" t="s">
        <v>235</v>
      </c>
      <c r="P16" s="1566" t="s">
        <v>359</v>
      </c>
      <c r="S16" s="1764"/>
      <c r="T16" s="1764"/>
      <c r="U16" s="1764"/>
      <c r="V16" s="1764"/>
      <c r="W16" s="1764"/>
      <c r="X16" s="1764"/>
      <c r="Y16" s="1764"/>
      <c r="Z16" s="1764"/>
      <c r="AA16" s="1764"/>
      <c r="AB16" s="1764"/>
      <c r="AC16" s="1764"/>
      <c r="AD16" s="1764"/>
    </row>
    <row r="17" spans="1:30" ht="15.75" customHeight="1">
      <c r="A17" s="2199"/>
      <c r="B17" s="2199"/>
      <c r="C17" s="2199"/>
      <c r="D17" s="2199"/>
      <c r="E17" s="2199"/>
      <c r="F17" s="2199"/>
      <c r="G17" s="2199"/>
      <c r="H17" s="2199"/>
      <c r="I17" s="2199"/>
      <c r="J17" s="2199"/>
      <c r="L17" s="1567" t="s">
        <v>1272</v>
      </c>
      <c r="M17" s="1814">
        <f>+'VII.3.CBSS-Benef'!B5</f>
        <v>48</v>
      </c>
      <c r="N17" s="1814">
        <f>+'VII.3.CBSS-Benef'!C5</f>
        <v>48</v>
      </c>
      <c r="O17" s="1567">
        <f>+Tabla5441[[#This Row],[Ene.2025]]+Tabla5441[[#This Row],[2024]]</f>
        <v>96</v>
      </c>
      <c r="P17" s="386">
        <f>+Tabla5441[[#This Row],[Total]]/$O$24</f>
        <v>2.9511220411927452E-2</v>
      </c>
      <c r="S17" s="1764"/>
      <c r="T17" s="1764"/>
      <c r="U17" s="1764"/>
      <c r="V17" s="1764"/>
      <c r="W17" s="1764"/>
      <c r="X17" s="1764"/>
      <c r="Y17" s="1764"/>
      <c r="Z17" s="1764"/>
      <c r="AA17" s="1764"/>
      <c r="AB17" s="1764"/>
      <c r="AC17" s="1764"/>
      <c r="AD17" s="1764"/>
    </row>
    <row r="18" spans="1:30" ht="15.75" customHeight="1">
      <c r="A18" s="2199"/>
      <c r="B18" s="2199"/>
      <c r="C18" s="2199"/>
      <c r="D18" s="2199"/>
      <c r="E18" s="2199"/>
      <c r="F18" s="2199"/>
      <c r="G18" s="2199"/>
      <c r="H18" s="2199"/>
      <c r="I18" s="2199"/>
      <c r="J18" s="2199"/>
      <c r="L18" s="1567" t="s">
        <v>1273</v>
      </c>
      <c r="M18" s="1814">
        <f>+'VII.3.CBSS-Benef'!B6</f>
        <v>161</v>
      </c>
      <c r="N18" s="1814">
        <f>+'VII.3.CBSS-Benef'!C6</f>
        <v>76</v>
      </c>
      <c r="O18" s="1567">
        <f>+Tabla5441[[#This Row],[Ene.2025]]+Tabla5441[[#This Row],[2024]]</f>
        <v>237</v>
      </c>
      <c r="P18" s="386">
        <f>+Tabla5441[[#This Row],[Total]]/$O$24</f>
        <v>7.2855825391945891E-2</v>
      </c>
      <c r="S18" s="1764"/>
      <c r="T18" s="1764"/>
      <c r="U18" s="1764"/>
      <c r="V18" s="1764"/>
      <c r="W18" s="1764"/>
      <c r="X18" s="1764"/>
      <c r="Y18" s="1764"/>
      <c r="Z18" s="1764"/>
      <c r="AA18" s="1764"/>
      <c r="AB18" s="1764"/>
      <c r="AC18" s="1764"/>
      <c r="AD18" s="1764"/>
    </row>
    <row r="19" spans="1:30" ht="15.75" customHeight="1">
      <c r="A19" s="2199"/>
      <c r="B19" s="2199"/>
      <c r="C19" s="2199"/>
      <c r="D19" s="2199"/>
      <c r="E19" s="2199"/>
      <c r="F19" s="2199"/>
      <c r="G19" s="2199"/>
      <c r="H19" s="2199"/>
      <c r="I19" s="2199"/>
      <c r="J19" s="2199"/>
      <c r="L19" s="1567" t="s">
        <v>1274</v>
      </c>
      <c r="M19" s="1814">
        <f>+'VII.3.CBSS-Benef'!B7</f>
        <v>17</v>
      </c>
      <c r="N19" s="1814">
        <f>+'VII.3.CBSS-Benef'!C7</f>
        <v>9</v>
      </c>
      <c r="O19" s="1567">
        <f>+Tabla5441[[#This Row],[Ene.2025]]+Tabla5441[[#This Row],[2024]]</f>
        <v>26</v>
      </c>
      <c r="P19" s="386">
        <f>+Tabla5441[[#This Row],[Total]]/$O$24</f>
        <v>7.9926221948970182E-3</v>
      </c>
      <c r="S19" s="1764"/>
      <c r="T19" s="1764"/>
      <c r="U19" s="1764"/>
      <c r="V19" s="1764"/>
      <c r="W19" s="1764"/>
      <c r="X19" s="1764"/>
      <c r="Y19" s="1764"/>
      <c r="Z19" s="1764"/>
      <c r="AA19" s="1764"/>
      <c r="AB19" s="1764"/>
      <c r="AC19" s="1764"/>
      <c r="AD19" s="1764"/>
    </row>
    <row r="20" spans="1:30" ht="15.75" customHeight="1">
      <c r="A20" s="2199"/>
      <c r="B20" s="2199"/>
      <c r="C20" s="2199"/>
      <c r="D20" s="2199"/>
      <c r="E20" s="2199"/>
      <c r="F20" s="2199"/>
      <c r="G20" s="2199"/>
      <c r="H20" s="2199"/>
      <c r="I20" s="2199"/>
      <c r="J20" s="2199"/>
      <c r="L20" s="1567" t="s">
        <v>1275</v>
      </c>
      <c r="M20" s="1814">
        <f>+'VII.3.CBSS-Benef'!B8</f>
        <v>65</v>
      </c>
      <c r="N20" s="1814">
        <f>+'VII.3.CBSS-Benef'!C8</f>
        <v>19</v>
      </c>
      <c r="O20" s="1567">
        <f>+Tabla5441[[#This Row],[Ene.2025]]+Tabla5441[[#This Row],[2024]]</f>
        <v>84</v>
      </c>
      <c r="P20" s="386">
        <f>+Tabla5441[[#This Row],[Total]]/$O$24</f>
        <v>2.5822317860436522E-2</v>
      </c>
      <c r="S20" s="1764"/>
      <c r="T20" s="1764"/>
      <c r="U20" s="1764"/>
      <c r="V20" s="1764"/>
      <c r="W20" s="1764"/>
      <c r="X20" s="1764"/>
      <c r="Y20" s="1764"/>
      <c r="Z20" s="1764"/>
      <c r="AA20" s="1764"/>
      <c r="AB20" s="1764"/>
      <c r="AC20" s="1764"/>
      <c r="AD20" s="1764"/>
    </row>
    <row r="21" spans="1:30" ht="15.75" customHeight="1">
      <c r="A21" s="2199"/>
      <c r="B21" s="2199"/>
      <c r="C21" s="2199"/>
      <c r="D21" s="2199"/>
      <c r="E21" s="2199"/>
      <c r="F21" s="2199"/>
      <c r="G21" s="2199"/>
      <c r="H21" s="2199"/>
      <c r="I21" s="2199"/>
      <c r="J21" s="2199"/>
      <c r="L21" s="1567" t="s">
        <v>1276</v>
      </c>
      <c r="M21" s="1814">
        <f>+'VII.3.CBSS-Benef'!B9</f>
        <v>400</v>
      </c>
      <c r="N21" s="1814">
        <f>+'VII.3.CBSS-Benef'!C9</f>
        <v>108</v>
      </c>
      <c r="O21" s="1567">
        <f>+Tabla5441[[#This Row],[Ene.2025]]+Tabla5441[[#This Row],[2024]]</f>
        <v>508</v>
      </c>
      <c r="P21" s="386">
        <f>+Tabla5441[[#This Row],[Total]]/$O$24</f>
        <v>0.15616354134644944</v>
      </c>
      <c r="S21" s="1764"/>
      <c r="T21" s="1764"/>
      <c r="U21" s="1764"/>
      <c r="V21" s="1764"/>
      <c r="W21" s="1764"/>
      <c r="X21" s="1764"/>
      <c r="Y21" s="1764"/>
      <c r="Z21" s="1764"/>
      <c r="AA21" s="1764"/>
      <c r="AB21" s="1764"/>
      <c r="AC21" s="1764"/>
      <c r="AD21" s="1764"/>
    </row>
    <row r="22" spans="1:30" ht="15.75" customHeight="1">
      <c r="A22" s="2199"/>
      <c r="B22" s="2199"/>
      <c r="C22" s="2199"/>
      <c r="D22" s="2199"/>
      <c r="E22" s="2199"/>
      <c r="F22" s="2199"/>
      <c r="G22" s="2199"/>
      <c r="H22" s="2199"/>
      <c r="I22" s="2199"/>
      <c r="J22" s="2199"/>
      <c r="L22" s="1567" t="s">
        <v>1277</v>
      </c>
      <c r="M22" s="1814">
        <f>+'VII.3.CBSS-Benef'!B10</f>
        <v>199</v>
      </c>
      <c r="N22" s="1814">
        <f>+'VII.3.CBSS-Benef'!C10</f>
        <v>59</v>
      </c>
      <c r="O22" s="1567">
        <f>+Tabla5441[[#This Row],[Ene.2025]]+Tabla5441[[#This Row],[2024]]</f>
        <v>258</v>
      </c>
      <c r="P22" s="386">
        <f>+Tabla5441[[#This Row],[Total]]/$O$24</f>
        <v>7.9311404857055026E-2</v>
      </c>
      <c r="S22" s="1764"/>
      <c r="T22" s="1764"/>
      <c r="U22" s="1764"/>
      <c r="V22" s="1764"/>
      <c r="W22" s="1764"/>
      <c r="X22" s="1764"/>
      <c r="Y22" s="1764"/>
      <c r="Z22" s="1764"/>
      <c r="AA22" s="1764"/>
      <c r="AB22" s="1764"/>
      <c r="AC22" s="1764"/>
      <c r="AD22" s="1764"/>
    </row>
    <row r="23" spans="1:30" ht="15.75" customHeight="1">
      <c r="A23" s="2199"/>
      <c r="B23" s="2199"/>
      <c r="C23" s="2199"/>
      <c r="D23" s="2199"/>
      <c r="E23" s="2199"/>
      <c r="F23" s="2199"/>
      <c r="G23" s="2199"/>
      <c r="H23" s="2199"/>
      <c r="I23" s="2199"/>
      <c r="J23" s="2199"/>
      <c r="L23" s="1567" t="s">
        <v>1278</v>
      </c>
      <c r="M23" s="1814">
        <f>+'VII.3.CBSS-Benef'!B11</f>
        <v>1635</v>
      </c>
      <c r="N23" s="1814">
        <f>+'VII.3.CBSS-Benef'!C11</f>
        <v>409</v>
      </c>
      <c r="O23" s="1567">
        <f>+Tabla5441[[#This Row],[Ene.2025]]+Tabla5441[[#This Row],[2024]]</f>
        <v>2044</v>
      </c>
      <c r="P23" s="386">
        <f>+Tabla5441[[#This Row],[Total]]/$O$24</f>
        <v>0.62834306793728867</v>
      </c>
      <c r="S23" s="1764"/>
      <c r="T23" s="1764"/>
      <c r="U23" s="1764"/>
      <c r="V23" s="1764"/>
      <c r="W23" s="1764"/>
      <c r="X23" s="1764"/>
      <c r="Y23" s="1764"/>
      <c r="Z23" s="1764"/>
      <c r="AA23" s="1764"/>
      <c r="AB23" s="1764"/>
      <c r="AC23" s="1764"/>
      <c r="AD23" s="1764"/>
    </row>
    <row r="24" spans="1:30" ht="15.75" customHeight="1">
      <c r="A24" s="2199"/>
      <c r="B24" s="2199"/>
      <c r="C24" s="2199"/>
      <c r="D24" s="2199"/>
      <c r="E24" s="2199"/>
      <c r="F24" s="2199"/>
      <c r="G24" s="2199"/>
      <c r="H24" s="2199"/>
      <c r="I24" s="2199"/>
      <c r="J24" s="2199"/>
      <c r="L24" s="1568" t="s">
        <v>235</v>
      </c>
      <c r="M24" s="1568">
        <f>SUM(M17:M23)</f>
        <v>2525</v>
      </c>
      <c r="N24" s="1568">
        <f>SUM(N17:N23)</f>
        <v>728</v>
      </c>
      <c r="O24" s="1568">
        <f>SUM(O17:O23)</f>
        <v>3253</v>
      </c>
      <c r="P24" s="386">
        <f>+Tabla5441[[#This Row],[Total]]/$O$24</f>
        <v>1</v>
      </c>
      <c r="S24" s="1764"/>
      <c r="T24" s="1764"/>
      <c r="U24" s="1764"/>
      <c r="V24" s="1764"/>
      <c r="W24" s="1764"/>
      <c r="X24" s="1764"/>
      <c r="Y24" s="1764"/>
      <c r="Z24" s="1764"/>
      <c r="AA24" s="1764"/>
      <c r="AB24" s="1764"/>
      <c r="AC24" s="1764"/>
      <c r="AD24" s="1764"/>
    </row>
    <row r="25" spans="1:30" ht="15.75" customHeight="1">
      <c r="A25" s="2199"/>
      <c r="B25" s="2199"/>
      <c r="C25" s="2199"/>
      <c r="D25" s="2199"/>
      <c r="E25" s="2199"/>
      <c r="F25" s="2199"/>
      <c r="G25" s="2199"/>
      <c r="H25" s="2199"/>
      <c r="I25" s="2199"/>
      <c r="J25" s="2199"/>
      <c r="L25" s="1567" t="s">
        <v>1279</v>
      </c>
      <c r="M25" s="1567"/>
      <c r="N25" s="1567"/>
      <c r="O25" s="1569"/>
      <c r="P25" s="386"/>
      <c r="S25" s="1764"/>
      <c r="T25" s="1764"/>
      <c r="U25" s="1764"/>
      <c r="V25" s="1764"/>
      <c r="W25" s="1764"/>
      <c r="X25" s="1764"/>
      <c r="Y25" s="1764"/>
      <c r="Z25" s="1764"/>
      <c r="AA25" s="1764"/>
      <c r="AB25" s="1764"/>
      <c r="AC25" s="1764"/>
      <c r="AD25" s="1764"/>
    </row>
    <row r="26" spans="1:30" ht="15.75" customHeight="1">
      <c r="A26" s="2199"/>
      <c r="B26" s="2199"/>
      <c r="C26" s="2199"/>
      <c r="D26" s="2199"/>
      <c r="E26" s="2199"/>
      <c r="F26" s="2199"/>
      <c r="G26" s="2199"/>
      <c r="H26" s="2199"/>
      <c r="I26" s="2199"/>
      <c r="J26" s="2199"/>
      <c r="S26" s="1764"/>
      <c r="T26" s="1764"/>
      <c r="U26" s="1764"/>
      <c r="V26" s="1764"/>
      <c r="W26" s="1764"/>
      <c r="X26" s="1764"/>
      <c r="Y26" s="1764"/>
      <c r="Z26" s="1764"/>
      <c r="AA26" s="1764"/>
      <c r="AB26" s="1764"/>
      <c r="AC26" s="1764"/>
      <c r="AD26" s="1764"/>
    </row>
    <row r="27" spans="1:30" ht="15.75" customHeight="1">
      <c r="A27" s="2199"/>
      <c r="B27" s="2199"/>
      <c r="C27" s="2199"/>
      <c r="D27" s="2199"/>
      <c r="E27" s="2199"/>
      <c r="F27" s="2199"/>
      <c r="G27" s="2199"/>
      <c r="H27" s="2199"/>
      <c r="I27" s="2199"/>
      <c r="J27" s="2199"/>
      <c r="P27" s="1570"/>
      <c r="Q27" s="1323"/>
      <c r="S27" s="1764"/>
      <c r="T27" s="1764"/>
      <c r="U27" s="1764"/>
      <c r="V27" s="1764"/>
      <c r="W27" s="1764"/>
      <c r="X27" s="1764"/>
      <c r="Y27" s="1764"/>
      <c r="Z27" s="1764"/>
      <c r="AA27" s="1764"/>
      <c r="AB27" s="1764"/>
      <c r="AC27" s="1764"/>
      <c r="AD27" s="1764"/>
    </row>
    <row r="28" spans="1:30" ht="15.75" customHeight="1">
      <c r="A28" s="2199"/>
      <c r="B28" s="2199"/>
      <c r="C28" s="2199"/>
      <c r="D28" s="2199"/>
      <c r="E28" s="2199"/>
      <c r="F28" s="2199"/>
      <c r="G28" s="2199"/>
      <c r="H28" s="2199"/>
      <c r="I28" s="2199"/>
      <c r="J28" s="2199"/>
      <c r="L28" s="1565" t="s">
        <v>1280</v>
      </c>
      <c r="M28" s="1565" t="s">
        <v>594</v>
      </c>
      <c r="N28" s="1565" t="s">
        <v>1271</v>
      </c>
      <c r="O28" s="1565" t="s">
        <v>235</v>
      </c>
      <c r="P28" s="1570"/>
      <c r="Q28" s="1323"/>
      <c r="S28" s="1764"/>
      <c r="T28" s="1764"/>
      <c r="U28" s="1764"/>
      <c r="V28" s="1764"/>
      <c r="W28" s="1764"/>
      <c r="X28" s="1764"/>
      <c r="Y28" s="1764"/>
      <c r="Z28" s="1764"/>
      <c r="AA28" s="1764"/>
      <c r="AB28" s="1764"/>
      <c r="AC28" s="1764"/>
      <c r="AD28" s="1764"/>
    </row>
    <row r="29" spans="1:30" ht="15.75" customHeight="1">
      <c r="A29" s="2199"/>
      <c r="B29" s="2199"/>
      <c r="C29" s="2199"/>
      <c r="D29" s="2199"/>
      <c r="E29" s="2199"/>
      <c r="F29" s="2199"/>
      <c r="G29" s="2199"/>
      <c r="H29" s="2199"/>
      <c r="I29" s="2199"/>
      <c r="J29" s="2199"/>
      <c r="L29" s="1571" t="s">
        <v>1272</v>
      </c>
      <c r="M29" s="1816">
        <f>+'VII.3.CBSS-Benef'!F5</f>
        <v>2</v>
      </c>
      <c r="N29" s="1816">
        <f>+'VII.3.CBSS-Benef'!G5</f>
        <v>0</v>
      </c>
      <c r="O29" s="1815">
        <f>+N29+M29</f>
        <v>2</v>
      </c>
      <c r="P29" s="1960">
        <f>+O29/$O$37</f>
        <v>4.7732696897374704E-3</v>
      </c>
      <c r="Q29" s="1323"/>
      <c r="S29" s="1764"/>
      <c r="T29" s="1764"/>
      <c r="U29" s="1764"/>
      <c r="V29" s="1764"/>
      <c r="W29" s="1764"/>
      <c r="X29" s="1764"/>
      <c r="Y29" s="1764"/>
      <c r="Z29" s="1764"/>
      <c r="AA29" s="1764"/>
      <c r="AB29" s="1764"/>
      <c r="AC29" s="1764"/>
      <c r="AD29" s="1764"/>
    </row>
    <row r="30" spans="1:30" ht="15.75" customHeight="1">
      <c r="A30" s="2199"/>
      <c r="B30" s="2199"/>
      <c r="C30" s="2199"/>
      <c r="D30" s="2199"/>
      <c r="E30" s="2199"/>
      <c r="F30" s="2199"/>
      <c r="G30" s="2199"/>
      <c r="H30" s="2199"/>
      <c r="I30" s="2199"/>
      <c r="J30" s="2199"/>
      <c r="L30" s="1571" t="s">
        <v>1273</v>
      </c>
      <c r="M30" s="1816">
        <f>+'VII.3.CBSS-Benef'!F6</f>
        <v>32</v>
      </c>
      <c r="N30" s="1816">
        <f>+'VII.3.CBSS-Benef'!G6</f>
        <v>3</v>
      </c>
      <c r="O30" s="1815">
        <f t="shared" ref="O30:O36" si="0">+N30+M30</f>
        <v>35</v>
      </c>
      <c r="P30" s="1960">
        <f t="shared" ref="P30:P37" si="1">+O30/$O$37</f>
        <v>8.3532219570405727E-2</v>
      </c>
      <c r="Q30" s="1323"/>
      <c r="S30" s="1764"/>
      <c r="T30" s="1764"/>
      <c r="U30" s="1764"/>
      <c r="V30" s="1764"/>
      <c r="W30" s="1764"/>
      <c r="X30" s="1764"/>
      <c r="Y30" s="1764"/>
      <c r="Z30" s="1764"/>
      <c r="AA30" s="1764"/>
      <c r="AB30" s="1764"/>
      <c r="AC30" s="1764"/>
      <c r="AD30" s="1764"/>
    </row>
    <row r="31" spans="1:30" ht="15.75" customHeight="1">
      <c r="A31" s="2199"/>
      <c r="B31" s="2199"/>
      <c r="C31" s="2199"/>
      <c r="D31" s="2199"/>
      <c r="E31" s="2199"/>
      <c r="F31" s="2199"/>
      <c r="G31" s="2199"/>
      <c r="H31" s="2199"/>
      <c r="I31" s="2199"/>
      <c r="J31" s="2199"/>
      <c r="L31" s="1571" t="s">
        <v>1281</v>
      </c>
      <c r="M31" s="1816">
        <f>+'VII.3.CBSS-Benef'!F7</f>
        <v>20</v>
      </c>
      <c r="N31" s="1816">
        <f>+'VII.3.CBSS-Benef'!G7</f>
        <v>6</v>
      </c>
      <c r="O31" s="1815">
        <f t="shared" si="0"/>
        <v>26</v>
      </c>
      <c r="P31" s="1960">
        <f t="shared" si="1"/>
        <v>6.205250596658711E-2</v>
      </c>
      <c r="Q31" s="1323"/>
      <c r="S31" s="1764"/>
      <c r="T31" s="1764"/>
      <c r="U31" s="1764"/>
      <c r="V31" s="1764"/>
      <c r="W31" s="1764"/>
      <c r="X31" s="1764"/>
      <c r="Y31" s="1764"/>
      <c r="Z31" s="1764"/>
      <c r="AA31" s="1764"/>
      <c r="AB31" s="1764"/>
      <c r="AC31" s="1764"/>
      <c r="AD31" s="1764"/>
    </row>
    <row r="32" spans="1:30" ht="15.75" customHeight="1">
      <c r="A32" s="2199"/>
      <c r="B32" s="2199"/>
      <c r="C32" s="2199"/>
      <c r="D32" s="2199"/>
      <c r="E32" s="2199"/>
      <c r="F32" s="2199"/>
      <c r="G32" s="2199"/>
      <c r="H32" s="2199"/>
      <c r="I32" s="2199"/>
      <c r="J32" s="2199"/>
      <c r="L32" s="1571" t="s">
        <v>1282</v>
      </c>
      <c r="M32" s="1816">
        <f>+'VII.3.CBSS-Benef'!F8</f>
        <v>8</v>
      </c>
      <c r="N32" s="1816">
        <f>+'VII.3.CBSS-Benef'!G8</f>
        <v>5</v>
      </c>
      <c r="O32" s="1815">
        <f t="shared" si="0"/>
        <v>13</v>
      </c>
      <c r="P32" s="1960">
        <f t="shared" si="1"/>
        <v>3.1026252983293555E-2</v>
      </c>
      <c r="Q32" s="1323"/>
      <c r="S32" s="1764"/>
      <c r="T32" s="1764"/>
      <c r="U32" s="1764"/>
      <c r="V32" s="1764"/>
      <c r="W32" s="1764"/>
      <c r="X32" s="1764"/>
      <c r="Y32" s="1764"/>
      <c r="Z32" s="1764"/>
      <c r="AA32" s="1764"/>
      <c r="AB32" s="1764"/>
      <c r="AC32" s="1764"/>
      <c r="AD32" s="1764"/>
    </row>
    <row r="33" spans="1:30" ht="15.75" customHeight="1">
      <c r="A33" s="2199"/>
      <c r="B33" s="2199"/>
      <c r="C33" s="2199"/>
      <c r="D33" s="2199"/>
      <c r="E33" s="2199"/>
      <c r="F33" s="2199"/>
      <c r="G33" s="2199"/>
      <c r="H33" s="2199"/>
      <c r="I33" s="2199"/>
      <c r="J33" s="2199"/>
      <c r="L33" s="1571" t="s">
        <v>1275</v>
      </c>
      <c r="M33" s="1816">
        <f>+'VII.3.CBSS-Benef'!F9</f>
        <v>7</v>
      </c>
      <c r="N33" s="1816">
        <f>+'VII.3.CBSS-Benef'!G9</f>
        <v>2</v>
      </c>
      <c r="O33" s="1815">
        <f t="shared" si="0"/>
        <v>9</v>
      </c>
      <c r="P33" s="1960">
        <f t="shared" si="1"/>
        <v>2.1479713603818614E-2</v>
      </c>
      <c r="Q33" s="1323"/>
      <c r="S33" s="1764"/>
      <c r="T33" s="1764"/>
      <c r="U33" s="1764"/>
      <c r="V33" s="1764"/>
      <c r="W33" s="1764"/>
      <c r="X33" s="1764"/>
      <c r="Y33" s="1764"/>
      <c r="Z33" s="1764"/>
      <c r="AA33" s="1764"/>
      <c r="AB33" s="1764"/>
      <c r="AC33" s="1764"/>
      <c r="AD33" s="1764"/>
    </row>
    <row r="34" spans="1:30" ht="15.75" customHeight="1">
      <c r="A34" s="2199"/>
      <c r="B34" s="2199"/>
      <c r="C34" s="2199"/>
      <c r="D34" s="2199"/>
      <c r="E34" s="2199"/>
      <c r="F34" s="2199"/>
      <c r="G34" s="2199"/>
      <c r="H34" s="2199"/>
      <c r="I34" s="2199"/>
      <c r="J34" s="2199"/>
      <c r="L34" s="1572" t="s">
        <v>1278</v>
      </c>
      <c r="M34" s="1816">
        <f>+'VII.3.CBSS-Benef'!F10</f>
        <v>16</v>
      </c>
      <c r="N34" s="1816">
        <f>+'VII.3.CBSS-Benef'!G10</f>
        <v>10</v>
      </c>
      <c r="O34" s="1815">
        <f t="shared" si="0"/>
        <v>26</v>
      </c>
      <c r="P34" s="1960">
        <f t="shared" si="1"/>
        <v>6.205250596658711E-2</v>
      </c>
      <c r="S34" s="1764"/>
      <c r="T34" s="1764"/>
      <c r="U34" s="1764"/>
      <c r="V34" s="1764"/>
      <c r="W34" s="1764"/>
      <c r="X34" s="1764"/>
      <c r="Y34" s="1764"/>
      <c r="Z34" s="1764"/>
      <c r="AA34" s="1764"/>
      <c r="AB34" s="1764"/>
      <c r="AC34" s="1764"/>
      <c r="AD34" s="1764"/>
    </row>
    <row r="35" spans="1:30" ht="15.75" customHeight="1">
      <c r="A35" s="2199"/>
      <c r="B35" s="2199"/>
      <c r="C35" s="2199"/>
      <c r="D35" s="2199"/>
      <c r="E35" s="2199"/>
      <c r="F35" s="2199"/>
      <c r="G35" s="2199"/>
      <c r="H35" s="2199"/>
      <c r="I35" s="2199"/>
      <c r="J35" s="2199"/>
      <c r="L35" s="1572" t="s">
        <v>1277</v>
      </c>
      <c r="M35" s="1816">
        <f>+'VII.3.CBSS-Benef'!F11</f>
        <v>28</v>
      </c>
      <c r="N35" s="1816">
        <f>+'VII.3.CBSS-Benef'!G11</f>
        <v>6</v>
      </c>
      <c r="O35" s="1815">
        <f t="shared" si="0"/>
        <v>34</v>
      </c>
      <c r="P35" s="1960">
        <f t="shared" si="1"/>
        <v>8.1145584725536998E-2</v>
      </c>
      <c r="S35" s="1764"/>
      <c r="T35" s="1764"/>
      <c r="U35" s="1764"/>
      <c r="V35" s="1764"/>
      <c r="W35" s="1764"/>
      <c r="X35" s="1764"/>
      <c r="Y35" s="1764"/>
      <c r="Z35" s="1764"/>
      <c r="AA35" s="1764"/>
      <c r="AB35" s="1764"/>
      <c r="AC35" s="1764"/>
      <c r="AD35" s="1764"/>
    </row>
    <row r="36" spans="1:30" ht="15.75" customHeight="1">
      <c r="A36" s="2199"/>
      <c r="B36" s="2199"/>
      <c r="C36" s="2199"/>
      <c r="D36" s="2199"/>
      <c r="E36" s="2199"/>
      <c r="F36" s="2199"/>
      <c r="G36" s="2199"/>
      <c r="H36" s="2199"/>
      <c r="I36" s="2199"/>
      <c r="J36" s="2199"/>
      <c r="L36" s="1572" t="s">
        <v>1283</v>
      </c>
      <c r="M36" s="1816">
        <f>+'VII.3.CBSS-Benef'!F12</f>
        <v>197</v>
      </c>
      <c r="N36" s="1816">
        <f>+'VII.3.CBSS-Benef'!G12</f>
        <v>77</v>
      </c>
      <c r="O36" s="1815">
        <f t="shared" si="0"/>
        <v>274</v>
      </c>
      <c r="P36" s="1960">
        <f t="shared" si="1"/>
        <v>0.65393794749403344</v>
      </c>
      <c r="S36" s="1764"/>
      <c r="T36" s="1764"/>
      <c r="U36" s="1764"/>
      <c r="V36" s="1764"/>
      <c r="W36" s="1764"/>
      <c r="X36" s="1764"/>
      <c r="Y36" s="1764"/>
      <c r="Z36" s="1764"/>
      <c r="AA36" s="1764"/>
      <c r="AB36" s="1764"/>
      <c r="AC36" s="1764"/>
      <c r="AD36" s="1764"/>
    </row>
    <row r="37" spans="1:30" ht="15.75" customHeight="1">
      <c r="A37" s="2199"/>
      <c r="B37" s="2199"/>
      <c r="C37" s="2199"/>
      <c r="D37" s="2199"/>
      <c r="E37" s="2199"/>
      <c r="F37" s="2199"/>
      <c r="G37" s="2199"/>
      <c r="H37" s="2199"/>
      <c r="I37" s="2199"/>
      <c r="J37" s="2199"/>
      <c r="L37" s="1573" t="s">
        <v>235</v>
      </c>
      <c r="M37" s="1573">
        <f>SUM(M29:M36)</f>
        <v>310</v>
      </c>
      <c r="N37" s="1573">
        <f>SUM(N29:N36)</f>
        <v>109</v>
      </c>
      <c r="O37" s="1815">
        <f>SUM(O29:O36)</f>
        <v>419</v>
      </c>
      <c r="P37" s="1960">
        <f t="shared" si="1"/>
        <v>1</v>
      </c>
      <c r="S37" s="1764"/>
      <c r="T37" s="1764"/>
      <c r="U37" s="1764"/>
      <c r="V37" s="1764"/>
      <c r="W37" s="1764"/>
      <c r="X37" s="1764"/>
      <c r="Y37" s="1764"/>
      <c r="Z37" s="1764"/>
      <c r="AA37" s="1764"/>
      <c r="AB37" s="1764"/>
      <c r="AC37" s="1764"/>
      <c r="AD37" s="1764"/>
    </row>
    <row r="38" spans="1:30" ht="15.75" customHeight="1">
      <c r="A38" s="2199"/>
      <c r="B38" s="2199"/>
      <c r="C38" s="2199"/>
      <c r="D38" s="2199"/>
      <c r="E38" s="2199"/>
      <c r="F38" s="2199"/>
      <c r="G38" s="2199"/>
      <c r="H38" s="2199"/>
      <c r="I38" s="2199"/>
      <c r="J38" s="2199"/>
      <c r="L38" s="1572" t="s">
        <v>1279</v>
      </c>
      <c r="M38" s="1572"/>
      <c r="N38" s="1572"/>
      <c r="O38" s="1574"/>
      <c r="S38" s="1764"/>
      <c r="T38" s="1764"/>
      <c r="U38" s="1764"/>
      <c r="V38" s="1764"/>
      <c r="W38" s="1764"/>
      <c r="X38" s="1764"/>
      <c r="Y38" s="1764"/>
      <c r="Z38" s="1764"/>
      <c r="AA38" s="1764"/>
      <c r="AB38" s="1764"/>
      <c r="AC38" s="1764"/>
      <c r="AD38" s="1764"/>
    </row>
    <row r="39" spans="1:30" ht="15.75" customHeight="1">
      <c r="S39" s="1764"/>
      <c r="T39" s="1764"/>
      <c r="U39" s="1764"/>
      <c r="V39" s="1764"/>
      <c r="W39" s="1764"/>
      <c r="X39" s="1764"/>
      <c r="Y39" s="1764"/>
      <c r="Z39" s="1764"/>
      <c r="AA39" s="1764"/>
      <c r="AB39" s="1764"/>
      <c r="AC39" s="1764"/>
      <c r="AD39" s="1764"/>
    </row>
    <row r="40" spans="1:30" ht="15.75" customHeight="1">
      <c r="S40" s="1764"/>
      <c r="T40" s="1764"/>
      <c r="U40" s="1764"/>
      <c r="V40" s="1764"/>
      <c r="W40" s="1764"/>
      <c r="X40" s="1764"/>
      <c r="Y40" s="1764"/>
      <c r="Z40" s="1764"/>
      <c r="AA40" s="1764"/>
      <c r="AB40" s="1764"/>
      <c r="AC40" s="1764"/>
      <c r="AD40" s="1764"/>
    </row>
    <row r="41" spans="1:30" ht="15.75" customHeight="1">
      <c r="S41" s="1764"/>
      <c r="T41" s="1764"/>
      <c r="U41" s="1764"/>
      <c r="V41" s="1764"/>
      <c r="W41" s="1764"/>
      <c r="X41" s="1764"/>
      <c r="Y41" s="1764"/>
      <c r="Z41" s="1764"/>
      <c r="AA41" s="1764"/>
      <c r="AB41" s="1764"/>
      <c r="AC41" s="1764"/>
      <c r="AD41" s="1764"/>
    </row>
    <row r="47" spans="1:30">
      <c r="F47" s="39"/>
    </row>
  </sheetData>
  <mergeCells count="1">
    <mergeCell ref="A5:J38"/>
  </mergeCells>
  <pageMargins left="0.70866141732283472" right="0.70866141732283472" top="0.74803149606299213" bottom="0.74803149606299213" header="0.31496062992125984" footer="0.31496062992125984"/>
  <pageSetup paperSize="119" scale="78" orientation="landscape" r:id="rId1"/>
  <drawing r:id="rId2"/>
  <tableParts count="1">
    <tablePart r:id="rId3"/>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49">
    <tabColor rgb="FF7030A0"/>
    <pageSetUpPr fitToPage="1"/>
  </sheetPr>
  <dimension ref="A1:AA46"/>
  <sheetViews>
    <sheetView showGridLines="0" tabSelected="1" view="pageBreakPreview" zoomScale="115" zoomScaleNormal="100" zoomScaleSheetLayoutView="115" workbookViewId="0">
      <selection activeCell="E6" sqref="E6"/>
    </sheetView>
  </sheetViews>
  <sheetFormatPr defaultColWidth="11.42578125" defaultRowHeight="14.25"/>
  <cols>
    <col min="1" max="1" width="42" style="435" customWidth="1"/>
    <col min="2" max="2" width="12" style="435" customWidth="1"/>
    <col min="3" max="3" width="14.5703125" style="435" customWidth="1"/>
    <col min="4" max="6" width="11.140625" style="435" customWidth="1"/>
    <col min="7" max="8" width="7.85546875" style="435" customWidth="1"/>
    <col min="9" max="9" width="10" style="435" bestFit="1" customWidth="1"/>
    <col min="10" max="11" width="11.42578125" style="435"/>
    <col min="12" max="12" width="30.28515625" style="435" bestFit="1" customWidth="1"/>
    <col min="13" max="16384" width="11.42578125" style="435"/>
  </cols>
  <sheetData>
    <row r="1" spans="1:20" s="569" customFormat="1" ht="34.5" customHeight="1">
      <c r="A1" s="2381" t="s">
        <v>1284</v>
      </c>
      <c r="B1" s="2381"/>
      <c r="C1" s="2381"/>
      <c r="D1" s="2381"/>
      <c r="E1" s="2381"/>
      <c r="F1" s="2381"/>
      <c r="G1" s="2381"/>
      <c r="H1" s="2381"/>
      <c r="I1" s="2381"/>
    </row>
    <row r="2" spans="1:20" s="569" customFormat="1" ht="14.25" customHeight="1">
      <c r="A2" s="2382" t="s">
        <v>1285</v>
      </c>
      <c r="B2" s="2382"/>
      <c r="C2" s="2383"/>
      <c r="D2" s="2383"/>
      <c r="E2" s="2383"/>
      <c r="F2" s="2383"/>
      <c r="G2" s="2383"/>
      <c r="H2" s="2383"/>
      <c r="I2" s="2383"/>
    </row>
    <row r="3" spans="1:20" ht="8.25" customHeight="1">
      <c r="A3" s="436"/>
      <c r="B3" s="436"/>
      <c r="C3" s="436"/>
      <c r="D3" s="436"/>
      <c r="E3" s="436"/>
      <c r="F3" s="436"/>
      <c r="G3" s="436"/>
      <c r="H3" s="436"/>
      <c r="I3" s="436"/>
    </row>
    <row r="4" spans="1:20" ht="18.75" customHeight="1">
      <c r="A4" s="570" t="s">
        <v>1286</v>
      </c>
      <c r="B4" s="1798" t="s">
        <v>594</v>
      </c>
      <c r="C4" s="1799" t="s">
        <v>1006</v>
      </c>
      <c r="D4" s="1800" t="s">
        <v>235</v>
      </c>
      <c r="E4" s="436"/>
      <c r="F4" s="436"/>
      <c r="G4" s="436"/>
      <c r="H4" s="436"/>
      <c r="I4" s="436"/>
      <c r="K4" s="2384" t="s">
        <v>1287</v>
      </c>
      <c r="L4" s="2385"/>
      <c r="M4" s="1597"/>
    </row>
    <row r="5" spans="1:20" ht="18.75" customHeight="1">
      <c r="A5" s="438" t="s">
        <v>1288</v>
      </c>
      <c r="B5" s="981">
        <v>2840</v>
      </c>
      <c r="C5" s="981">
        <v>846</v>
      </c>
      <c r="D5" s="1809">
        <f>+Tabla55[[#This Row],[Ene-Abr. 2025]]+Tabla55[[#This Row],[2024]]</f>
        <v>3686</v>
      </c>
      <c r="E5" s="436"/>
      <c r="F5" s="436"/>
      <c r="G5" s="436"/>
      <c r="H5" s="436"/>
      <c r="I5" s="436"/>
      <c r="K5" s="2386"/>
      <c r="L5" s="2387"/>
      <c r="M5" s="1601" t="s">
        <v>1289</v>
      </c>
      <c r="N5" s="1601" t="s">
        <v>1290</v>
      </c>
      <c r="O5" s="1602" t="s">
        <v>1291</v>
      </c>
      <c r="P5" s="1602" t="s">
        <v>1292</v>
      </c>
      <c r="Q5" s="435" t="s">
        <v>235</v>
      </c>
    </row>
    <row r="6" spans="1:20" ht="15">
      <c r="A6" s="438" t="s">
        <v>1293</v>
      </c>
      <c r="B6" s="981">
        <v>14484</v>
      </c>
      <c r="C6" s="981">
        <v>3364</v>
      </c>
      <c r="D6" s="1809">
        <f>+Tabla55[[#This Row],[Ene-Abr. 2025]]+Tabla55[[#This Row],[2024]]</f>
        <v>17848</v>
      </c>
      <c r="E6" s="436"/>
      <c r="F6" s="436"/>
      <c r="G6" s="436"/>
      <c r="H6" s="436"/>
      <c r="I6" s="436"/>
      <c r="K6" s="1598">
        <v>1</v>
      </c>
      <c r="L6" s="1599" t="s">
        <v>1294</v>
      </c>
      <c r="M6" s="1600">
        <v>451</v>
      </c>
      <c r="N6" s="1600">
        <v>840</v>
      </c>
      <c r="O6" s="1600">
        <v>804</v>
      </c>
      <c r="P6" s="1600">
        <v>745</v>
      </c>
      <c r="Q6" s="1603">
        <f>SUM(M6:P6)</f>
        <v>2840</v>
      </c>
    </row>
    <row r="7" spans="1:20" ht="15">
      <c r="A7" s="438" t="s">
        <v>1295</v>
      </c>
      <c r="B7" s="981">
        <v>2396</v>
      </c>
      <c r="C7" s="981">
        <v>681</v>
      </c>
      <c r="D7" s="1809">
        <f>+Tabla55[[#This Row],[Ene-Abr. 2025]]+Tabla55[[#This Row],[2024]]</f>
        <v>3077</v>
      </c>
      <c r="E7" s="436"/>
      <c r="F7" s="436"/>
      <c r="G7" s="436"/>
      <c r="H7" s="436"/>
      <c r="I7" s="436"/>
      <c r="K7" s="1598">
        <v>2</v>
      </c>
      <c r="L7" s="1599" t="s">
        <v>1296</v>
      </c>
      <c r="M7" s="1600">
        <v>3265</v>
      </c>
      <c r="N7" s="1600">
        <v>3732</v>
      </c>
      <c r="O7" s="1600">
        <v>4181</v>
      </c>
      <c r="P7" s="1600">
        <v>3306</v>
      </c>
      <c r="Q7" s="1603">
        <f>SUM(M7:P7)</f>
        <v>14484</v>
      </c>
    </row>
    <row r="8" spans="1:20" ht="15">
      <c r="A8" s="438" t="s">
        <v>1297</v>
      </c>
      <c r="B8" s="981">
        <v>1847</v>
      </c>
      <c r="C8" s="981">
        <v>331</v>
      </c>
      <c r="D8" s="1809">
        <f>+Tabla55[[#This Row],[Ene-Abr. 2025]]+Tabla55[[#This Row],[2024]]</f>
        <v>2178</v>
      </c>
      <c r="E8" s="436"/>
      <c r="F8" s="436"/>
      <c r="G8" s="436"/>
      <c r="H8" s="436"/>
      <c r="I8" s="436"/>
      <c r="K8" s="1598">
        <v>3</v>
      </c>
      <c r="L8" s="1599" t="s">
        <v>1298</v>
      </c>
      <c r="M8" s="1600">
        <v>591</v>
      </c>
      <c r="N8" s="1600">
        <v>661</v>
      </c>
      <c r="O8" s="1600">
        <v>584</v>
      </c>
      <c r="P8" s="1600">
        <v>560</v>
      </c>
      <c r="Q8" s="1603">
        <f>SUM(M8:P8)</f>
        <v>2396</v>
      </c>
    </row>
    <row r="9" spans="1:20" s="1321" customFormat="1" ht="19.5" customHeight="1">
      <c r="A9" s="1465" t="s">
        <v>1299</v>
      </c>
      <c r="B9" s="1465"/>
      <c r="C9" s="1466"/>
      <c r="D9" s="1801"/>
      <c r="E9" s="436"/>
      <c r="K9" s="1598">
        <v>4</v>
      </c>
      <c r="L9" s="1599" t="s">
        <v>1300</v>
      </c>
      <c r="M9" s="1600">
        <v>476</v>
      </c>
      <c r="N9" s="1600">
        <v>328</v>
      </c>
      <c r="O9" s="1600">
        <v>528</v>
      </c>
      <c r="P9" s="1600">
        <v>515</v>
      </c>
      <c r="Q9" s="1604">
        <f>SUM(M9:P9)</f>
        <v>1847</v>
      </c>
    </row>
    <row r="10" spans="1:20">
      <c r="A10" s="437"/>
      <c r="B10" s="437"/>
      <c r="C10" s="437"/>
      <c r="D10" s="437"/>
      <c r="E10" s="437"/>
      <c r="F10" s="437"/>
      <c r="G10" s="437"/>
      <c r="H10" s="437"/>
      <c r="I10" s="437"/>
    </row>
    <row r="11" spans="1:20">
      <c r="A11" s="437"/>
      <c r="B11" s="437"/>
      <c r="C11" s="437"/>
      <c r="D11" s="437"/>
      <c r="E11" s="437"/>
      <c r="F11" s="437"/>
      <c r="G11" s="437"/>
      <c r="H11" s="437"/>
      <c r="I11" s="437"/>
    </row>
    <row r="12" spans="1:20" ht="15">
      <c r="K12" s="2388" t="s">
        <v>1301</v>
      </c>
      <c r="L12" s="2389"/>
      <c r="M12" s="1949"/>
      <c r="N12" s="1949"/>
      <c r="O12" s="1949"/>
      <c r="P12" s="1950"/>
      <c r="Q12" s="1954"/>
      <c r="R12" s="1954"/>
      <c r="S12" s="1954"/>
      <c r="T12" s="1954"/>
    </row>
    <row r="13" spans="1:20" ht="15.75">
      <c r="K13" s="2390"/>
      <c r="L13" s="2391"/>
      <c r="M13" s="1951" t="s">
        <v>1160</v>
      </c>
      <c r="N13" s="1951" t="s">
        <v>1186</v>
      </c>
      <c r="O13" s="1951" t="s">
        <v>1187</v>
      </c>
      <c r="P13" s="1952" t="s">
        <v>1289</v>
      </c>
      <c r="Q13" s="1952" t="s">
        <v>1290</v>
      </c>
      <c r="R13" s="1953" t="s">
        <v>1291</v>
      </c>
      <c r="S13" s="1953" t="s">
        <v>1292</v>
      </c>
      <c r="T13" s="1954" t="s">
        <v>235</v>
      </c>
    </row>
    <row r="14" spans="1:20" ht="15">
      <c r="K14" s="1598">
        <v>1</v>
      </c>
      <c r="L14" s="1599" t="s">
        <v>1294</v>
      </c>
      <c r="M14" s="1599">
        <f>+Q22</f>
        <v>210</v>
      </c>
      <c r="N14" s="1599">
        <f>+V22</f>
        <v>291</v>
      </c>
      <c r="O14" s="1599">
        <f>+AA22</f>
        <v>240</v>
      </c>
      <c r="P14" s="1803">
        <f>+O14++M14+N14</f>
        <v>741</v>
      </c>
      <c r="Q14" s="1600"/>
      <c r="R14" s="1600"/>
      <c r="S14" s="1600"/>
      <c r="T14" s="1603"/>
    </row>
    <row r="15" spans="1:20" ht="15">
      <c r="K15" s="1598">
        <v>2</v>
      </c>
      <c r="L15" s="1599" t="s">
        <v>1296</v>
      </c>
      <c r="M15" s="1599">
        <f t="shared" ref="M15:M17" si="0">+Q23</f>
        <v>658</v>
      </c>
      <c r="N15" s="1599">
        <f t="shared" ref="N15:N17" si="1">+V23</f>
        <v>1018</v>
      </c>
      <c r="O15" s="1599">
        <f t="shared" ref="O15:O17" si="2">+AA23</f>
        <v>1125</v>
      </c>
      <c r="P15" s="1803">
        <f t="shared" ref="P15:P17" si="3">+O15++M15+N15</f>
        <v>2801</v>
      </c>
      <c r="Q15" s="1600"/>
      <c r="R15" s="1600"/>
      <c r="S15" s="1600"/>
      <c r="T15" s="1603"/>
    </row>
    <row r="16" spans="1:20" ht="15">
      <c r="K16" s="1598">
        <v>3</v>
      </c>
      <c r="L16" s="1599" t="s">
        <v>1298</v>
      </c>
      <c r="M16" s="1599">
        <f t="shared" si="0"/>
        <v>167</v>
      </c>
      <c r="N16" s="1599">
        <f t="shared" si="1"/>
        <v>140</v>
      </c>
      <c r="O16" s="1599">
        <f t="shared" si="2"/>
        <v>221</v>
      </c>
      <c r="P16" s="1803">
        <f t="shared" si="3"/>
        <v>528</v>
      </c>
      <c r="Q16" s="1600"/>
      <c r="R16" s="1600"/>
      <c r="S16" s="1600"/>
      <c r="T16" s="1603"/>
    </row>
    <row r="17" spans="11:27" ht="15">
      <c r="K17" s="1598">
        <v>4</v>
      </c>
      <c r="L17" s="1599" t="s">
        <v>1300</v>
      </c>
      <c r="M17" s="1599">
        <f t="shared" si="0"/>
        <v>52</v>
      </c>
      <c r="N17" s="1599">
        <f t="shared" si="1"/>
        <v>129</v>
      </c>
      <c r="O17" s="1599">
        <f t="shared" si="2"/>
        <v>128</v>
      </c>
      <c r="P17" s="1803">
        <f t="shared" si="3"/>
        <v>309</v>
      </c>
      <c r="Q17" s="1600"/>
      <c r="R17" s="1600"/>
      <c r="S17" s="1600"/>
      <c r="T17" s="1604"/>
    </row>
    <row r="20" spans="11:27" ht="15">
      <c r="K20" s="2384" t="s">
        <v>1302</v>
      </c>
      <c r="L20" s="2385"/>
      <c r="M20" s="2372" t="s">
        <v>1303</v>
      </c>
      <c r="N20" s="2373"/>
      <c r="O20" s="2373"/>
      <c r="P20" s="2373"/>
      <c r="Q20" s="2374"/>
      <c r="R20" s="2375" t="s">
        <v>1304</v>
      </c>
      <c r="S20" s="2376"/>
      <c r="T20" s="2376"/>
      <c r="U20" s="2376"/>
      <c r="V20" s="2377"/>
      <c r="W20" s="2378" t="s">
        <v>1305</v>
      </c>
      <c r="X20" s="2379"/>
      <c r="Y20" s="2379"/>
      <c r="Z20" s="2379"/>
      <c r="AA20" s="2380"/>
    </row>
    <row r="21" spans="11:27" ht="15">
      <c r="K21" s="2386"/>
      <c r="L21" s="2387"/>
      <c r="M21" s="1930" t="s">
        <v>1306</v>
      </c>
      <c r="N21" s="1930" t="s">
        <v>1307</v>
      </c>
      <c r="O21" s="1930" t="s">
        <v>1308</v>
      </c>
      <c r="P21" s="1930" t="s">
        <v>1309</v>
      </c>
      <c r="Q21" s="1930" t="s">
        <v>809</v>
      </c>
      <c r="R21" s="1931" t="s">
        <v>1306</v>
      </c>
      <c r="S21" s="1931" t="s">
        <v>1307</v>
      </c>
      <c r="T21" s="1931" t="s">
        <v>1308</v>
      </c>
      <c r="U21" s="1931" t="s">
        <v>1309</v>
      </c>
      <c r="V21" s="1931" t="s">
        <v>809</v>
      </c>
      <c r="W21" s="1932" t="s">
        <v>1306</v>
      </c>
      <c r="X21" s="1932" t="s">
        <v>1307</v>
      </c>
      <c r="Y21" s="1932" t="s">
        <v>1308</v>
      </c>
      <c r="Z21" s="1932" t="s">
        <v>1309</v>
      </c>
      <c r="AA21" s="1932" t="s">
        <v>809</v>
      </c>
    </row>
    <row r="22" spans="11:27" ht="15">
      <c r="K22" s="1598">
        <v>1</v>
      </c>
      <c r="L22" s="1933" t="s">
        <v>1294</v>
      </c>
      <c r="M22" s="1934">
        <v>15</v>
      </c>
      <c r="N22" s="1934">
        <v>59</v>
      </c>
      <c r="O22" s="1934">
        <v>58</v>
      </c>
      <c r="P22" s="1934">
        <v>78</v>
      </c>
      <c r="Q22" s="1935">
        <f>SUM(M22:P22)</f>
        <v>210</v>
      </c>
      <c r="R22" s="1934">
        <v>20</v>
      </c>
      <c r="S22" s="1934">
        <v>1</v>
      </c>
      <c r="T22" s="1934">
        <v>201</v>
      </c>
      <c r="U22" s="1934">
        <v>89</v>
      </c>
      <c r="V22" s="1936">
        <f>SUM(S22:U22)</f>
        <v>291</v>
      </c>
      <c r="W22" s="1934">
        <v>7</v>
      </c>
      <c r="X22" s="1934">
        <v>82</v>
      </c>
      <c r="Y22" s="1934">
        <v>3</v>
      </c>
      <c r="Z22" s="1934">
        <v>148</v>
      </c>
      <c r="AA22" s="1937">
        <f>SUM(W22:Z22)</f>
        <v>240</v>
      </c>
    </row>
    <row r="23" spans="11:27" ht="15">
      <c r="K23" s="1598">
        <v>2</v>
      </c>
      <c r="L23" s="1933" t="s">
        <v>1296</v>
      </c>
      <c r="M23" s="1934">
        <v>210</v>
      </c>
      <c r="N23" s="1934">
        <v>114</v>
      </c>
      <c r="O23" s="1934">
        <v>93</v>
      </c>
      <c r="P23" s="1934">
        <v>241</v>
      </c>
      <c r="Q23" s="1935">
        <f>SUM(M23:P23)</f>
        <v>658</v>
      </c>
      <c r="R23" s="1934">
        <v>352</v>
      </c>
      <c r="S23" s="1934">
        <v>350</v>
      </c>
      <c r="T23" s="1934">
        <v>236</v>
      </c>
      <c r="U23" s="1934">
        <v>432</v>
      </c>
      <c r="V23" s="1936">
        <f>SUM(S23:U23)</f>
        <v>1018</v>
      </c>
      <c r="W23" s="1934">
        <v>446</v>
      </c>
      <c r="X23" s="1934">
        <v>257</v>
      </c>
      <c r="Y23" s="1934">
        <v>265</v>
      </c>
      <c r="Z23" s="1934">
        <v>157</v>
      </c>
      <c r="AA23" s="1937">
        <f>SUM(W23:Z23)</f>
        <v>1125</v>
      </c>
    </row>
    <row r="24" spans="11:27" ht="15">
      <c r="K24" s="1598">
        <v>3</v>
      </c>
      <c r="L24" s="1933" t="s">
        <v>1298</v>
      </c>
      <c r="M24" s="1934">
        <v>38</v>
      </c>
      <c r="N24" s="1934">
        <v>32</v>
      </c>
      <c r="O24" s="1934">
        <v>37</v>
      </c>
      <c r="P24" s="1934">
        <v>60</v>
      </c>
      <c r="Q24" s="1935">
        <f>SUM(M24:P24)</f>
        <v>167</v>
      </c>
      <c r="R24" s="1934">
        <v>50</v>
      </c>
      <c r="S24" s="1934">
        <v>44</v>
      </c>
      <c r="T24" s="1934">
        <v>47</v>
      </c>
      <c r="U24" s="1934">
        <v>49</v>
      </c>
      <c r="V24" s="1936">
        <f>SUM(S24:U24)</f>
        <v>140</v>
      </c>
      <c r="W24" s="1934">
        <v>32</v>
      </c>
      <c r="X24" s="1934">
        <v>63</v>
      </c>
      <c r="Y24" s="1934">
        <v>46</v>
      </c>
      <c r="Z24" s="1934">
        <v>80</v>
      </c>
      <c r="AA24" s="1937">
        <f>SUM(W24:Z24)</f>
        <v>221</v>
      </c>
    </row>
    <row r="25" spans="11:27" ht="15">
      <c r="K25" s="1598">
        <v>4</v>
      </c>
      <c r="L25" s="1933" t="s">
        <v>1300</v>
      </c>
      <c r="M25" s="1934">
        <v>5</v>
      </c>
      <c r="N25" s="1934">
        <v>4</v>
      </c>
      <c r="O25" s="1934">
        <v>0</v>
      </c>
      <c r="P25" s="1934">
        <v>43</v>
      </c>
      <c r="Q25" s="1935">
        <f>SUM(M25:P25)</f>
        <v>52</v>
      </c>
      <c r="R25" s="1934">
        <v>9</v>
      </c>
      <c r="S25" s="1934">
        <v>84</v>
      </c>
      <c r="T25" s="1934">
        <v>41</v>
      </c>
      <c r="U25" s="1934">
        <v>4</v>
      </c>
      <c r="V25" s="1936">
        <f>SUM(S25:U25)</f>
        <v>129</v>
      </c>
      <c r="W25" s="1934">
        <v>107</v>
      </c>
      <c r="X25" s="1934">
        <v>8</v>
      </c>
      <c r="Y25" s="1934">
        <v>7</v>
      </c>
      <c r="Z25" s="1934">
        <v>6</v>
      </c>
      <c r="AA25" s="1937">
        <f>SUM(W25:Z25)</f>
        <v>128</v>
      </c>
    </row>
    <row r="26" spans="11:27" ht="15">
      <c r="K26" s="1938"/>
      <c r="L26" s="1938"/>
      <c r="M26" s="1938"/>
      <c r="N26" s="1938"/>
      <c r="O26" s="1938"/>
      <c r="P26" s="1938"/>
      <c r="Q26" s="1935"/>
      <c r="R26" s="1938"/>
      <c r="S26" s="1938"/>
      <c r="T26" s="1938"/>
      <c r="U26" s="1938"/>
      <c r="V26" s="1936"/>
      <c r="W26" s="1938"/>
      <c r="X26" s="1938"/>
      <c r="Y26" s="1938"/>
      <c r="Z26" s="1938"/>
      <c r="AA26" s="1937"/>
    </row>
    <row r="27" spans="11:27" ht="15">
      <c r="K27" s="1939" t="s">
        <v>1310</v>
      </c>
      <c r="L27" s="1806" t="s">
        <v>1270</v>
      </c>
      <c r="M27" s="1940"/>
      <c r="N27" s="1940"/>
      <c r="O27" s="1940"/>
      <c r="P27" s="1940"/>
      <c r="Q27" s="1935"/>
      <c r="R27" s="1941"/>
      <c r="S27" s="1941"/>
      <c r="T27" s="1941"/>
      <c r="U27" s="1941"/>
      <c r="V27" s="1936"/>
      <c r="W27" s="1942"/>
      <c r="X27" s="1942"/>
      <c r="Y27" s="1942"/>
      <c r="Z27" s="1942"/>
      <c r="AA27" s="1937"/>
    </row>
    <row r="28" spans="11:27" ht="15">
      <c r="K28" s="1943">
        <v>1</v>
      </c>
      <c r="L28" s="1944" t="s">
        <v>1272</v>
      </c>
      <c r="M28" s="1945">
        <v>0</v>
      </c>
      <c r="N28" s="1945">
        <v>0</v>
      </c>
      <c r="O28" s="1945">
        <v>12</v>
      </c>
      <c r="P28" s="1945">
        <v>0</v>
      </c>
      <c r="Q28" s="1946">
        <v>12</v>
      </c>
      <c r="R28" s="1945">
        <v>0</v>
      </c>
      <c r="S28" s="1945">
        <v>0</v>
      </c>
      <c r="T28" s="1945">
        <v>14</v>
      </c>
      <c r="U28" s="1945">
        <v>2</v>
      </c>
      <c r="V28" s="1947">
        <v>16</v>
      </c>
      <c r="W28" s="1945">
        <v>0</v>
      </c>
      <c r="X28" s="1945">
        <v>0</v>
      </c>
      <c r="Y28" s="1945">
        <v>0</v>
      </c>
      <c r="Z28" s="1945">
        <v>3</v>
      </c>
      <c r="AA28" s="1948">
        <v>3</v>
      </c>
    </row>
    <row r="29" spans="11:27" ht="15">
      <c r="K29" s="1943">
        <v>2</v>
      </c>
      <c r="L29" s="1944" t="s">
        <v>1273</v>
      </c>
      <c r="M29" s="1945">
        <v>0</v>
      </c>
      <c r="N29" s="1945">
        <v>1</v>
      </c>
      <c r="O29" s="1945">
        <v>15</v>
      </c>
      <c r="P29" s="1945">
        <v>0</v>
      </c>
      <c r="Q29" s="1946">
        <v>16</v>
      </c>
      <c r="R29" s="1945">
        <v>0</v>
      </c>
      <c r="S29" s="1945">
        <v>0</v>
      </c>
      <c r="T29" s="1945">
        <v>19</v>
      </c>
      <c r="U29" s="1945">
        <v>10</v>
      </c>
      <c r="V29" s="1947">
        <v>29</v>
      </c>
      <c r="W29" s="1945">
        <v>0</v>
      </c>
      <c r="X29" s="1945">
        <v>1</v>
      </c>
      <c r="Y29" s="1945">
        <v>0</v>
      </c>
      <c r="Z29" s="1945">
        <v>12</v>
      </c>
      <c r="AA29" s="1948">
        <v>13</v>
      </c>
    </row>
    <row r="30" spans="11:27" ht="15">
      <c r="K30" s="1943">
        <v>3</v>
      </c>
      <c r="L30" s="1944" t="s">
        <v>1274</v>
      </c>
      <c r="M30" s="1945">
        <v>0</v>
      </c>
      <c r="N30" s="1945">
        <v>0</v>
      </c>
      <c r="O30" s="1945">
        <v>1</v>
      </c>
      <c r="P30" s="1945">
        <v>0</v>
      </c>
      <c r="Q30" s="1946">
        <v>1</v>
      </c>
      <c r="R30" s="1945">
        <v>0</v>
      </c>
      <c r="S30" s="1945">
        <v>0</v>
      </c>
      <c r="T30" s="1945">
        <v>0</v>
      </c>
      <c r="U30" s="1945">
        <v>2</v>
      </c>
      <c r="V30" s="1947">
        <v>2</v>
      </c>
      <c r="W30" s="1945">
        <v>0</v>
      </c>
      <c r="X30" s="1945">
        <v>0</v>
      </c>
      <c r="Y30" s="1945">
        <v>0</v>
      </c>
      <c r="Z30" s="1945">
        <v>3</v>
      </c>
      <c r="AA30" s="1948">
        <v>3</v>
      </c>
    </row>
    <row r="31" spans="11:27" ht="15">
      <c r="K31" s="1598">
        <v>4</v>
      </c>
      <c r="L31" s="1933" t="s">
        <v>1275</v>
      </c>
      <c r="M31" s="1934">
        <v>0</v>
      </c>
      <c r="N31" s="1934">
        <v>3</v>
      </c>
      <c r="O31" s="1934">
        <v>0</v>
      </c>
      <c r="P31" s="1934">
        <v>2</v>
      </c>
      <c r="Q31" s="1935">
        <v>5</v>
      </c>
      <c r="R31" s="1934">
        <v>0</v>
      </c>
      <c r="S31" s="1934">
        <v>0</v>
      </c>
      <c r="T31" s="1934">
        <v>10</v>
      </c>
      <c r="U31" s="1934">
        <v>1</v>
      </c>
      <c r="V31" s="1936">
        <v>11</v>
      </c>
      <c r="W31" s="1934">
        <v>0</v>
      </c>
      <c r="X31" s="1934">
        <v>3</v>
      </c>
      <c r="Y31" s="1934">
        <v>0</v>
      </c>
      <c r="Z31" s="1934">
        <v>0</v>
      </c>
      <c r="AA31" s="1937">
        <v>3</v>
      </c>
    </row>
    <row r="32" spans="11:27" ht="15">
      <c r="K32" s="1598">
        <v>5</v>
      </c>
      <c r="L32" s="1933" t="s">
        <v>1276</v>
      </c>
      <c r="M32" s="1934">
        <v>0</v>
      </c>
      <c r="N32" s="1934">
        <v>7</v>
      </c>
      <c r="O32" s="1934">
        <v>1</v>
      </c>
      <c r="P32" s="1934">
        <v>7</v>
      </c>
      <c r="Q32" s="1935">
        <v>15</v>
      </c>
      <c r="R32" s="1934">
        <v>0</v>
      </c>
      <c r="S32" s="1934">
        <v>0</v>
      </c>
      <c r="T32" s="1934">
        <v>33</v>
      </c>
      <c r="U32" s="1934">
        <v>12</v>
      </c>
      <c r="V32" s="1936">
        <v>45</v>
      </c>
      <c r="W32" s="1934">
        <v>0</v>
      </c>
      <c r="X32" s="1934">
        <v>7</v>
      </c>
      <c r="Y32" s="1934">
        <v>0</v>
      </c>
      <c r="Z32" s="1934">
        <v>21</v>
      </c>
      <c r="AA32" s="1937">
        <v>28</v>
      </c>
    </row>
    <row r="33" spans="11:27" ht="15">
      <c r="K33" s="1598">
        <v>6</v>
      </c>
      <c r="L33" s="1933" t="s">
        <v>1277</v>
      </c>
      <c r="M33" s="1934">
        <v>0</v>
      </c>
      <c r="N33" s="1934">
        <v>1</v>
      </c>
      <c r="O33" s="1934">
        <v>11</v>
      </c>
      <c r="P33" s="1934">
        <v>1</v>
      </c>
      <c r="Q33" s="1935">
        <v>13</v>
      </c>
      <c r="R33" s="1934">
        <v>0</v>
      </c>
      <c r="S33" s="1934">
        <v>0</v>
      </c>
      <c r="T33" s="1934">
        <v>13</v>
      </c>
      <c r="U33" s="1934">
        <v>3</v>
      </c>
      <c r="V33" s="1936">
        <v>16</v>
      </c>
      <c r="W33" s="1934">
        <v>0</v>
      </c>
      <c r="X33" s="1934">
        <v>5</v>
      </c>
      <c r="Y33" s="1934">
        <v>0</v>
      </c>
      <c r="Z33" s="1934">
        <v>11</v>
      </c>
      <c r="AA33" s="1937">
        <v>16</v>
      </c>
    </row>
    <row r="34" spans="11:27" ht="15">
      <c r="K34" s="1598">
        <v>7</v>
      </c>
      <c r="L34" s="1933" t="s">
        <v>1278</v>
      </c>
      <c r="M34" s="1934">
        <v>0</v>
      </c>
      <c r="N34" s="1934">
        <v>43</v>
      </c>
      <c r="O34" s="1934">
        <v>16</v>
      </c>
      <c r="P34" s="1934">
        <v>66</v>
      </c>
      <c r="Q34" s="1935">
        <v>125</v>
      </c>
      <c r="R34" s="1934">
        <v>0</v>
      </c>
      <c r="S34" s="1934">
        <v>0</v>
      </c>
      <c r="T34" s="1934">
        <v>94</v>
      </c>
      <c r="U34" s="1934">
        <v>32</v>
      </c>
      <c r="V34" s="1936">
        <v>126</v>
      </c>
      <c r="W34" s="1934">
        <v>0</v>
      </c>
      <c r="X34" s="1934">
        <v>63</v>
      </c>
      <c r="Y34" s="1934">
        <v>0</v>
      </c>
      <c r="Z34" s="1934">
        <v>95</v>
      </c>
      <c r="AA34" s="1937">
        <v>158</v>
      </c>
    </row>
    <row r="35" spans="11:27" ht="15">
      <c r="K35" s="1598">
        <v>8</v>
      </c>
      <c r="L35" s="1599" t="s">
        <v>809</v>
      </c>
      <c r="M35" s="1934">
        <v>0</v>
      </c>
      <c r="N35" s="1934">
        <v>55</v>
      </c>
      <c r="O35" s="1934">
        <v>56</v>
      </c>
      <c r="P35" s="1934">
        <v>76</v>
      </c>
      <c r="Q35" s="1935">
        <v>187</v>
      </c>
      <c r="R35" s="1934">
        <v>0</v>
      </c>
      <c r="S35" s="1934">
        <v>0</v>
      </c>
      <c r="T35" s="1934">
        <v>183</v>
      </c>
      <c r="U35" s="1934">
        <v>62</v>
      </c>
      <c r="V35" s="1936">
        <v>245</v>
      </c>
      <c r="W35" s="1934">
        <v>0</v>
      </c>
      <c r="X35" s="1934">
        <v>79</v>
      </c>
      <c r="Y35" s="1934">
        <v>0</v>
      </c>
      <c r="Z35" s="1934">
        <v>145</v>
      </c>
      <c r="AA35" s="1937">
        <v>224</v>
      </c>
    </row>
    <row r="36" spans="11:27" ht="15">
      <c r="K36" s="1938"/>
      <c r="L36" s="1938"/>
      <c r="M36" s="1938"/>
      <c r="N36" s="1938"/>
      <c r="O36" s="1938"/>
      <c r="P36" s="1938"/>
      <c r="Q36" s="1935"/>
      <c r="R36" s="1938"/>
      <c r="S36" s="1938"/>
      <c r="T36" s="1938"/>
      <c r="U36" s="1938"/>
      <c r="V36" s="1936"/>
      <c r="W36" s="1938"/>
      <c r="X36" s="1938"/>
      <c r="Y36" s="1938"/>
      <c r="Z36" s="1938"/>
      <c r="AA36" s="1937"/>
    </row>
    <row r="37" spans="11:27" ht="15">
      <c r="K37" s="1939" t="s">
        <v>1311</v>
      </c>
      <c r="L37" s="1806" t="s">
        <v>1312</v>
      </c>
      <c r="M37" s="1940"/>
      <c r="N37" s="1940"/>
      <c r="O37" s="1940"/>
      <c r="P37" s="1940"/>
      <c r="Q37" s="1935"/>
      <c r="R37" s="1941"/>
      <c r="S37" s="1941"/>
      <c r="T37" s="1941"/>
      <c r="U37" s="1941"/>
      <c r="V37" s="1936"/>
      <c r="W37" s="1942"/>
      <c r="X37" s="1942"/>
      <c r="Y37" s="1942"/>
      <c r="Z37" s="1942"/>
      <c r="AA37" s="1937"/>
    </row>
    <row r="38" spans="11:27" ht="15">
      <c r="K38" s="1943">
        <v>1</v>
      </c>
      <c r="L38" s="1944" t="s">
        <v>1272</v>
      </c>
      <c r="M38" s="1945">
        <v>0</v>
      </c>
      <c r="N38" s="1945">
        <v>0</v>
      </c>
      <c r="O38" s="1945">
        <v>0</v>
      </c>
      <c r="P38" s="1945">
        <v>0</v>
      </c>
      <c r="Q38" s="1946">
        <v>0</v>
      </c>
      <c r="R38" s="1945">
        <v>0</v>
      </c>
      <c r="S38" s="1945">
        <v>0</v>
      </c>
      <c r="T38" s="1945">
        <v>0</v>
      </c>
      <c r="U38" s="1945">
        <v>0</v>
      </c>
      <c r="V38" s="1947">
        <v>0</v>
      </c>
      <c r="W38" s="1945">
        <v>0</v>
      </c>
      <c r="X38" s="1945">
        <v>0</v>
      </c>
      <c r="Y38" s="1945">
        <v>0</v>
      </c>
      <c r="Z38" s="1945">
        <v>0</v>
      </c>
      <c r="AA38" s="1948">
        <v>0</v>
      </c>
    </row>
    <row r="39" spans="11:27" ht="15">
      <c r="K39" s="1943">
        <v>2</v>
      </c>
      <c r="L39" s="1944" t="s">
        <v>1273</v>
      </c>
      <c r="M39" s="1945">
        <v>0</v>
      </c>
      <c r="N39" s="1945">
        <v>1</v>
      </c>
      <c r="O39" s="1945">
        <v>1</v>
      </c>
      <c r="P39" s="1945">
        <v>0</v>
      </c>
      <c r="Q39" s="1946">
        <v>2</v>
      </c>
      <c r="R39" s="1945">
        <v>0</v>
      </c>
      <c r="S39" s="1945">
        <v>0</v>
      </c>
      <c r="T39" s="1945">
        <v>0</v>
      </c>
      <c r="U39" s="1945">
        <v>0</v>
      </c>
      <c r="V39" s="1947">
        <v>0</v>
      </c>
      <c r="W39" s="1945">
        <v>0</v>
      </c>
      <c r="X39" s="1945">
        <v>0</v>
      </c>
      <c r="Y39" s="1945">
        <v>0</v>
      </c>
      <c r="Z39" s="1945">
        <v>1</v>
      </c>
      <c r="AA39" s="1948">
        <v>1</v>
      </c>
    </row>
    <row r="40" spans="11:27" ht="15">
      <c r="K40" s="1943">
        <v>3</v>
      </c>
      <c r="L40" s="1944" t="s">
        <v>1281</v>
      </c>
      <c r="M40" s="1945">
        <v>0</v>
      </c>
      <c r="N40" s="1945">
        <v>1</v>
      </c>
      <c r="O40" s="1945">
        <v>0</v>
      </c>
      <c r="P40" s="1945">
        <v>1</v>
      </c>
      <c r="Q40" s="1946">
        <v>2</v>
      </c>
      <c r="R40" s="1945">
        <v>0</v>
      </c>
      <c r="S40" s="1945">
        <v>0</v>
      </c>
      <c r="T40" s="1945">
        <v>0</v>
      </c>
      <c r="U40" s="1945">
        <v>2</v>
      </c>
      <c r="V40" s="1947">
        <v>2</v>
      </c>
      <c r="W40" s="1945">
        <v>0</v>
      </c>
      <c r="X40" s="1945">
        <v>0</v>
      </c>
      <c r="Y40" s="1945">
        <v>0</v>
      </c>
      <c r="Z40" s="1945">
        <v>0</v>
      </c>
      <c r="AA40" s="1948">
        <v>0</v>
      </c>
    </row>
    <row r="41" spans="11:27" ht="15">
      <c r="K41" s="1943">
        <v>4</v>
      </c>
      <c r="L41" s="1944" t="s">
        <v>1282</v>
      </c>
      <c r="M41" s="1945">
        <v>1</v>
      </c>
      <c r="N41" s="1945">
        <v>2</v>
      </c>
      <c r="O41" s="1945">
        <v>0</v>
      </c>
      <c r="P41" s="1945">
        <v>0</v>
      </c>
      <c r="Q41" s="1946">
        <v>3</v>
      </c>
      <c r="R41" s="1945">
        <v>0</v>
      </c>
      <c r="S41" s="1945">
        <v>0</v>
      </c>
      <c r="T41" s="1945">
        <v>0</v>
      </c>
      <c r="U41" s="1945">
        <v>1</v>
      </c>
      <c r="V41" s="1947">
        <v>1</v>
      </c>
      <c r="W41" s="1945">
        <v>0</v>
      </c>
      <c r="X41" s="1945">
        <v>1</v>
      </c>
      <c r="Y41" s="1945">
        <v>0</v>
      </c>
      <c r="Z41" s="1945">
        <v>0</v>
      </c>
      <c r="AA41" s="1948">
        <v>1</v>
      </c>
    </row>
    <row r="42" spans="11:27" ht="15">
      <c r="K42" s="1598">
        <v>5</v>
      </c>
      <c r="L42" s="1933" t="s">
        <v>1275</v>
      </c>
      <c r="M42" s="1934">
        <v>0</v>
      </c>
      <c r="N42" s="1934">
        <v>0</v>
      </c>
      <c r="O42" s="1934">
        <v>0</v>
      </c>
      <c r="P42" s="1934">
        <v>0</v>
      </c>
      <c r="Q42" s="1935">
        <v>0</v>
      </c>
      <c r="R42" s="1934">
        <v>0</v>
      </c>
      <c r="S42" s="1934">
        <v>0</v>
      </c>
      <c r="T42" s="1934">
        <v>0</v>
      </c>
      <c r="U42" s="1934">
        <v>1</v>
      </c>
      <c r="V42" s="1936">
        <v>1</v>
      </c>
      <c r="W42" s="1934">
        <v>0</v>
      </c>
      <c r="X42" s="1934">
        <v>0</v>
      </c>
      <c r="Y42" s="1934">
        <v>0</v>
      </c>
      <c r="Z42" s="1934">
        <v>1</v>
      </c>
      <c r="AA42" s="1937">
        <v>1</v>
      </c>
    </row>
    <row r="43" spans="11:27" ht="15">
      <c r="K43" s="1598">
        <v>6</v>
      </c>
      <c r="L43" s="1933" t="s">
        <v>1278</v>
      </c>
      <c r="M43" s="1934">
        <v>0</v>
      </c>
      <c r="N43" s="1934">
        <v>0</v>
      </c>
      <c r="O43" s="1934">
        <v>0</v>
      </c>
      <c r="P43" s="1934">
        <v>1</v>
      </c>
      <c r="Q43" s="1935">
        <v>1</v>
      </c>
      <c r="R43" s="1934">
        <v>1</v>
      </c>
      <c r="S43" s="1934">
        <v>1</v>
      </c>
      <c r="T43" s="1934">
        <v>0</v>
      </c>
      <c r="U43" s="1934">
        <v>0</v>
      </c>
      <c r="V43" s="1936">
        <v>2</v>
      </c>
      <c r="W43" s="1934">
        <v>6</v>
      </c>
      <c r="X43" s="1934">
        <v>0</v>
      </c>
      <c r="Y43" s="1934">
        <v>0</v>
      </c>
      <c r="Z43" s="1934">
        <v>0</v>
      </c>
      <c r="AA43" s="1937">
        <v>6</v>
      </c>
    </row>
    <row r="44" spans="11:27" ht="15">
      <c r="K44" s="1598">
        <v>7</v>
      </c>
      <c r="L44" s="1933" t="s">
        <v>1277</v>
      </c>
      <c r="M44" s="1934">
        <v>1</v>
      </c>
      <c r="N44" s="1934">
        <v>0</v>
      </c>
      <c r="O44" s="1934">
        <v>1</v>
      </c>
      <c r="P44" s="1934">
        <v>0</v>
      </c>
      <c r="Q44" s="1935">
        <v>2</v>
      </c>
      <c r="R44" s="1934">
        <v>2</v>
      </c>
      <c r="S44" s="1934">
        <v>0</v>
      </c>
      <c r="T44" s="1934">
        <v>0</v>
      </c>
      <c r="U44" s="1934">
        <v>0</v>
      </c>
      <c r="V44" s="1936">
        <v>2</v>
      </c>
      <c r="W44" s="1934">
        <v>0</v>
      </c>
      <c r="X44" s="1934">
        <v>0</v>
      </c>
      <c r="Y44" s="1934">
        <v>0</v>
      </c>
      <c r="Z44" s="1934">
        <v>1</v>
      </c>
      <c r="AA44" s="1937">
        <v>1</v>
      </c>
    </row>
    <row r="45" spans="11:27" ht="15">
      <c r="K45" s="1598">
        <v>8</v>
      </c>
      <c r="L45" s="1933" t="s">
        <v>1283</v>
      </c>
      <c r="M45" s="1934">
        <v>13</v>
      </c>
      <c r="N45" s="1934">
        <v>0</v>
      </c>
      <c r="O45" s="1934">
        <v>0</v>
      </c>
      <c r="P45" s="1934">
        <v>0</v>
      </c>
      <c r="Q45" s="1935">
        <v>13</v>
      </c>
      <c r="R45" s="1934">
        <v>17</v>
      </c>
      <c r="S45" s="1934">
        <v>0</v>
      </c>
      <c r="T45" s="1934">
        <v>18</v>
      </c>
      <c r="U45" s="1934">
        <v>23</v>
      </c>
      <c r="V45" s="1936">
        <v>58</v>
      </c>
      <c r="W45" s="1934">
        <v>1</v>
      </c>
      <c r="X45" s="1934">
        <v>2</v>
      </c>
      <c r="Y45" s="1934">
        <v>3</v>
      </c>
      <c r="Z45" s="1934">
        <v>0</v>
      </c>
      <c r="AA45" s="1937">
        <v>6</v>
      </c>
    </row>
    <row r="46" spans="11:27" ht="15">
      <c r="K46" s="1598">
        <v>9</v>
      </c>
      <c r="L46" s="1599" t="s">
        <v>809</v>
      </c>
      <c r="M46" s="1934">
        <v>15</v>
      </c>
      <c r="N46" s="1934">
        <v>4</v>
      </c>
      <c r="O46" s="1934">
        <v>2</v>
      </c>
      <c r="P46" s="1934">
        <v>2</v>
      </c>
      <c r="Q46" s="1935">
        <v>23</v>
      </c>
      <c r="R46" s="1934">
        <v>20</v>
      </c>
      <c r="S46" s="1934">
        <v>1</v>
      </c>
      <c r="T46" s="1934">
        <v>18</v>
      </c>
      <c r="U46" s="1934">
        <v>27</v>
      </c>
      <c r="V46" s="1936">
        <v>66</v>
      </c>
      <c r="W46" s="1934">
        <v>7</v>
      </c>
      <c r="X46" s="1934">
        <v>3</v>
      </c>
      <c r="Y46" s="1934">
        <v>3</v>
      </c>
      <c r="Z46" s="1934">
        <v>3</v>
      </c>
      <c r="AA46" s="1937">
        <v>16</v>
      </c>
    </row>
  </sheetData>
  <mergeCells count="8">
    <mergeCell ref="M20:Q20"/>
    <mergeCell ref="R20:V20"/>
    <mergeCell ref="W20:AA20"/>
    <mergeCell ref="A1:I1"/>
    <mergeCell ref="A2:I2"/>
    <mergeCell ref="K4:L5"/>
    <mergeCell ref="K12:L13"/>
    <mergeCell ref="K20:L21"/>
  </mergeCells>
  <pageMargins left="0.70866141732283472" right="0.70866141732283472" top="0.74803149606299213" bottom="0.74803149606299213" header="0.31496062992125984" footer="0.31496062992125984"/>
  <pageSetup scale="95" orientation="landscape" r:id="rId1"/>
  <drawing r:id="rId2"/>
  <tableParts count="1">
    <tablePart r:id="rId3"/>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61">
    <tabColor rgb="FF7030A0"/>
    <pageSetUpPr fitToPage="1"/>
  </sheetPr>
  <dimension ref="A1:AL32"/>
  <sheetViews>
    <sheetView showGridLines="0" view="pageBreakPreview" zoomScale="55" zoomScaleNormal="100" zoomScaleSheetLayoutView="55" workbookViewId="0">
      <selection activeCell="I10" sqref="I10"/>
    </sheetView>
  </sheetViews>
  <sheetFormatPr defaultColWidth="11.42578125" defaultRowHeight="18"/>
  <cols>
    <col min="1" max="1" width="107.28515625" style="441" customWidth="1"/>
    <col min="2" max="2" width="14.85546875" style="441" customWidth="1"/>
    <col min="3" max="3" width="22.5703125" style="441" customWidth="1"/>
    <col min="4" max="4" width="16.85546875" style="441" customWidth="1"/>
    <col min="5" max="5" width="96.7109375" style="441" customWidth="1"/>
    <col min="6" max="6" width="18.5703125" style="441" customWidth="1"/>
    <col min="7" max="7" width="20" style="441" customWidth="1"/>
    <col min="8" max="8" width="16.85546875" style="441" customWidth="1"/>
    <col min="9" max="10" width="11.42578125" style="441"/>
    <col min="11" max="11" width="88" style="441" bestFit="1" customWidth="1"/>
    <col min="12" max="15" width="13.42578125" style="441" hidden="1" customWidth="1"/>
    <col min="16" max="19" width="0" style="441" hidden="1" customWidth="1"/>
    <col min="20" max="20" width="11.42578125" style="441"/>
    <col min="21" max="21" width="54.42578125" style="441" bestFit="1" customWidth="1"/>
    <col min="22" max="25" width="0" style="441" hidden="1" customWidth="1"/>
    <col min="26" max="26" width="11.42578125" style="1956"/>
    <col min="27" max="30" width="0" style="441" hidden="1" customWidth="1"/>
    <col min="31" max="31" width="11.42578125" style="1956"/>
    <col min="32" max="35" width="0" style="441" hidden="1" customWidth="1"/>
    <col min="36" max="36" width="11.42578125" style="1956"/>
    <col min="37" max="16384" width="11.42578125" style="441"/>
  </cols>
  <sheetData>
    <row r="1" spans="1:38" s="568" customFormat="1" ht="72" customHeight="1">
      <c r="A1" s="2392" t="s">
        <v>1313</v>
      </c>
      <c r="B1" s="2392"/>
      <c r="C1" s="2392"/>
      <c r="D1" s="2392"/>
      <c r="E1" s="2392"/>
      <c r="F1" s="2392"/>
      <c r="G1" s="2392"/>
      <c r="H1" s="2392"/>
      <c r="Z1" s="1955"/>
      <c r="AE1" s="1955"/>
      <c r="AJ1" s="1955"/>
    </row>
    <row r="2" spans="1:38" s="568" customFormat="1" ht="31.5" customHeight="1">
      <c r="A2" s="2392" t="s">
        <v>1314</v>
      </c>
      <c r="B2" s="2392"/>
      <c r="C2" s="2392"/>
      <c r="D2" s="2392"/>
      <c r="E2" s="2392"/>
      <c r="F2" s="2392"/>
      <c r="G2" s="2392"/>
      <c r="H2" s="2392"/>
      <c r="Z2" s="1955"/>
      <c r="AE2" s="1955"/>
      <c r="AJ2" s="1955"/>
    </row>
    <row r="3" spans="1:38" ht="16.5" customHeight="1">
      <c r="A3" s="2393"/>
      <c r="B3" s="2393"/>
      <c r="C3" s="2393"/>
      <c r="D3" s="2393"/>
      <c r="E3" s="2393"/>
      <c r="F3" s="1337"/>
      <c r="G3" s="2393"/>
      <c r="H3" s="2393"/>
      <c r="I3" s="2393"/>
      <c r="J3" s="2393"/>
    </row>
    <row r="4" spans="1:38" ht="23.25">
      <c r="A4" s="1319" t="s">
        <v>1270</v>
      </c>
      <c r="B4" s="1958" t="s">
        <v>594</v>
      </c>
      <c r="C4" s="1959" t="s">
        <v>1315</v>
      </c>
      <c r="D4" s="1337"/>
      <c r="E4" s="1319" t="s">
        <v>1280</v>
      </c>
      <c r="F4" s="1404">
        <v>2024</v>
      </c>
      <c r="G4" s="1404" t="str">
        <f>+Tabla54[[#Headers],[Ene-Abr.25]]</f>
        <v>Ene-Abr.25</v>
      </c>
      <c r="J4" s="439"/>
    </row>
    <row r="5" spans="1:38" ht="23.25">
      <c r="A5" s="1804" t="s">
        <v>1272</v>
      </c>
      <c r="B5" s="1450">
        <v>48</v>
      </c>
      <c r="C5" s="1450">
        <v>48</v>
      </c>
      <c r="D5" s="1337"/>
      <c r="E5" s="1320" t="s">
        <v>1272</v>
      </c>
      <c r="F5" s="1805">
        <v>2</v>
      </c>
      <c r="G5" s="1805">
        <v>0</v>
      </c>
      <c r="J5" s="439">
        <v>2</v>
      </c>
      <c r="K5" s="1605" t="s">
        <v>1270</v>
      </c>
      <c r="L5" s="1404" t="s">
        <v>1289</v>
      </c>
      <c r="M5" s="1404" t="s">
        <v>1290</v>
      </c>
      <c r="N5" s="1404" t="s">
        <v>1291</v>
      </c>
      <c r="O5" s="1404" t="s">
        <v>1292</v>
      </c>
      <c r="P5" s="441" t="s">
        <v>1316</v>
      </c>
      <c r="T5" s="2384" t="s">
        <v>1302</v>
      </c>
      <c r="U5" s="2385"/>
      <c r="V5" s="2372" t="s">
        <v>1303</v>
      </c>
      <c r="W5" s="2373"/>
      <c r="X5" s="2373"/>
      <c r="Y5" s="2373"/>
      <c r="Z5" s="2374"/>
      <c r="AA5" s="2375" t="s">
        <v>1304</v>
      </c>
      <c r="AB5" s="2376"/>
      <c r="AC5" s="2376"/>
      <c r="AD5" s="2376"/>
      <c r="AE5" s="2377"/>
      <c r="AF5" s="2378" t="s">
        <v>1305</v>
      </c>
      <c r="AG5" s="2379"/>
      <c r="AH5" s="2379"/>
      <c r="AI5" s="2379"/>
      <c r="AJ5" s="2379"/>
      <c r="AK5" s="1962" t="s">
        <v>1317</v>
      </c>
    </row>
    <row r="6" spans="1:38" ht="23.25">
      <c r="A6" s="1804" t="s">
        <v>1273</v>
      </c>
      <c r="B6" s="1450">
        <v>161</v>
      </c>
      <c r="C6" s="1450">
        <v>76</v>
      </c>
      <c r="D6" s="1337"/>
      <c r="E6" s="1320" t="s">
        <v>1273</v>
      </c>
      <c r="F6" s="1805">
        <v>32</v>
      </c>
      <c r="G6" s="1805">
        <v>3</v>
      </c>
      <c r="J6" s="439">
        <v>32</v>
      </c>
      <c r="K6" s="1320" t="s">
        <v>1272</v>
      </c>
      <c r="L6" s="1449">
        <v>8</v>
      </c>
      <c r="M6" s="1449">
        <v>14</v>
      </c>
      <c r="N6" s="1449">
        <v>12</v>
      </c>
      <c r="O6" s="1449">
        <v>22</v>
      </c>
      <c r="P6" s="441">
        <f>+AK13</f>
        <v>17</v>
      </c>
      <c r="T6" s="2386"/>
      <c r="U6" s="2387"/>
      <c r="V6" s="1449" t="s">
        <v>1306</v>
      </c>
      <c r="W6" s="1449" t="s">
        <v>1307</v>
      </c>
      <c r="X6" s="1449" t="s">
        <v>1308</v>
      </c>
      <c r="Y6" s="1449" t="s">
        <v>1309</v>
      </c>
      <c r="Z6" s="1957" t="s">
        <v>809</v>
      </c>
      <c r="AA6" s="1449" t="s">
        <v>1306</v>
      </c>
      <c r="AB6" s="1449" t="s">
        <v>1307</v>
      </c>
      <c r="AC6" s="1449" t="s">
        <v>1308</v>
      </c>
      <c r="AD6" s="1449" t="s">
        <v>1309</v>
      </c>
      <c r="AE6" s="1957" t="s">
        <v>809</v>
      </c>
      <c r="AF6" s="1449" t="s">
        <v>1306</v>
      </c>
      <c r="AG6" s="1449" t="s">
        <v>1307</v>
      </c>
      <c r="AH6" s="1449" t="s">
        <v>1308</v>
      </c>
      <c r="AI6" s="1449" t="s">
        <v>1309</v>
      </c>
      <c r="AJ6" s="1957" t="s">
        <v>809</v>
      </c>
      <c r="AK6" s="1957" t="s">
        <v>809</v>
      </c>
    </row>
    <row r="7" spans="1:38" ht="23.25">
      <c r="A7" s="1804" t="s">
        <v>1274</v>
      </c>
      <c r="B7" s="1450">
        <v>17</v>
      </c>
      <c r="C7" s="1450">
        <v>9</v>
      </c>
      <c r="D7" s="1337"/>
      <c r="E7" s="1320" t="s">
        <v>1281</v>
      </c>
      <c r="F7" s="1805">
        <v>20</v>
      </c>
      <c r="G7" s="1805">
        <v>6</v>
      </c>
      <c r="J7" s="439">
        <v>20</v>
      </c>
      <c r="K7" s="1320" t="s">
        <v>1273</v>
      </c>
      <c r="L7" s="1449">
        <v>37</v>
      </c>
      <c r="M7" s="1449">
        <v>73</v>
      </c>
      <c r="N7" s="1449">
        <v>40</v>
      </c>
      <c r="O7" s="1449">
        <v>48</v>
      </c>
      <c r="P7" s="441">
        <f>+AK14</f>
        <v>18</v>
      </c>
      <c r="T7" s="1598">
        <v>1</v>
      </c>
      <c r="U7" s="1933" t="s">
        <v>1294</v>
      </c>
      <c r="V7" s="1449">
        <v>15</v>
      </c>
      <c r="W7" s="1449">
        <v>59</v>
      </c>
      <c r="X7" s="1449">
        <v>58</v>
      </c>
      <c r="Y7" s="1449">
        <v>78</v>
      </c>
      <c r="Z7" s="1957">
        <f>SUM(V7:Y7)</f>
        <v>210</v>
      </c>
      <c r="AA7" s="1449">
        <v>20</v>
      </c>
      <c r="AB7" s="1449">
        <v>1</v>
      </c>
      <c r="AC7" s="1449">
        <v>201</v>
      </c>
      <c r="AD7" s="1449">
        <v>89</v>
      </c>
      <c r="AE7" s="1957">
        <f>SUM(AB7:AD7)</f>
        <v>291</v>
      </c>
      <c r="AF7" s="1449">
        <v>7</v>
      </c>
      <c r="AG7" s="1449">
        <v>82</v>
      </c>
      <c r="AH7" s="1449">
        <v>3</v>
      </c>
      <c r="AI7" s="1449">
        <v>148</v>
      </c>
      <c r="AJ7" s="1957">
        <f>SUM(AF7:AI7)</f>
        <v>240</v>
      </c>
    </row>
    <row r="8" spans="1:38" ht="23.25">
      <c r="A8" s="1804" t="s">
        <v>1275</v>
      </c>
      <c r="B8" s="1450">
        <v>65</v>
      </c>
      <c r="C8" s="1450">
        <v>19</v>
      </c>
      <c r="D8" s="1337"/>
      <c r="E8" s="1320" t="s">
        <v>1282</v>
      </c>
      <c r="F8" s="1805">
        <v>8</v>
      </c>
      <c r="G8" s="1805">
        <v>5</v>
      </c>
      <c r="J8" s="439">
        <v>8</v>
      </c>
      <c r="K8" s="1320" t="s">
        <v>1274</v>
      </c>
      <c r="L8" s="1449">
        <v>9</v>
      </c>
      <c r="M8" s="1449">
        <v>13</v>
      </c>
      <c r="N8" s="1449">
        <v>3</v>
      </c>
      <c r="O8" s="1449">
        <v>1</v>
      </c>
      <c r="P8" s="441">
        <f>+AK15</f>
        <v>3</v>
      </c>
      <c r="T8" s="1598">
        <v>2</v>
      </c>
      <c r="U8" s="1933" t="s">
        <v>1296</v>
      </c>
      <c r="V8" s="1449">
        <v>210</v>
      </c>
      <c r="W8" s="1449">
        <v>114</v>
      </c>
      <c r="X8" s="1449">
        <v>93</v>
      </c>
      <c r="Y8" s="1449">
        <v>241</v>
      </c>
      <c r="Z8" s="1957">
        <f>SUM(V8:Y8)</f>
        <v>658</v>
      </c>
      <c r="AA8" s="1449">
        <v>352</v>
      </c>
      <c r="AB8" s="1449">
        <v>350</v>
      </c>
      <c r="AC8" s="1449">
        <v>236</v>
      </c>
      <c r="AD8" s="1449">
        <v>432</v>
      </c>
      <c r="AE8" s="1957">
        <f>SUM(AB8:AD8)</f>
        <v>1018</v>
      </c>
      <c r="AF8" s="1449">
        <v>446</v>
      </c>
      <c r="AG8" s="1449">
        <v>257</v>
      </c>
      <c r="AH8" s="1449">
        <v>265</v>
      </c>
      <c r="AI8" s="1449">
        <v>157</v>
      </c>
      <c r="AJ8" s="1957">
        <f>SUM(AF8:AI8)</f>
        <v>1125</v>
      </c>
    </row>
    <row r="9" spans="1:38" ht="23.25">
      <c r="A9" s="1804" t="s">
        <v>1276</v>
      </c>
      <c r="B9" s="1450">
        <v>400</v>
      </c>
      <c r="C9" s="1450">
        <v>108</v>
      </c>
      <c r="D9" s="1337"/>
      <c r="E9" s="1320" t="s">
        <v>1275</v>
      </c>
      <c r="F9" s="1805">
        <v>7</v>
      </c>
      <c r="G9" s="1805">
        <v>2</v>
      </c>
      <c r="J9" s="439">
        <v>7</v>
      </c>
      <c r="K9" s="1320" t="s">
        <v>1275</v>
      </c>
      <c r="L9" s="1449">
        <v>9</v>
      </c>
      <c r="M9" s="1449">
        <v>31</v>
      </c>
      <c r="N9" s="1449">
        <v>24</v>
      </c>
      <c r="O9" s="1449">
        <v>10</v>
      </c>
      <c r="P9" s="441">
        <f>+AK16</f>
        <v>0</v>
      </c>
      <c r="T9" s="1598">
        <v>3</v>
      </c>
      <c r="U9" s="1933" t="s">
        <v>1298</v>
      </c>
      <c r="V9" s="1449">
        <v>38</v>
      </c>
      <c r="W9" s="1449">
        <v>32</v>
      </c>
      <c r="X9" s="1449">
        <v>37</v>
      </c>
      <c r="Y9" s="1449">
        <v>60</v>
      </c>
      <c r="Z9" s="1957">
        <f>SUM(V9:Y9)</f>
        <v>167</v>
      </c>
      <c r="AA9" s="1449">
        <v>50</v>
      </c>
      <c r="AB9" s="1449">
        <v>44</v>
      </c>
      <c r="AC9" s="1449">
        <v>47</v>
      </c>
      <c r="AD9" s="1449">
        <v>49</v>
      </c>
      <c r="AE9" s="1957">
        <f>SUM(AB9:AD9)</f>
        <v>140</v>
      </c>
      <c r="AF9" s="1449">
        <v>32</v>
      </c>
      <c r="AG9" s="1449">
        <v>63</v>
      </c>
      <c r="AH9" s="1449">
        <v>46</v>
      </c>
      <c r="AI9" s="1449">
        <v>80</v>
      </c>
      <c r="AJ9" s="1957">
        <f>SUM(AF9:AI9)</f>
        <v>221</v>
      </c>
    </row>
    <row r="10" spans="1:38" ht="23.25">
      <c r="A10" s="1804" t="s">
        <v>1277</v>
      </c>
      <c r="B10" s="1450">
        <v>199</v>
      </c>
      <c r="C10" s="1450">
        <v>59</v>
      </c>
      <c r="D10" s="1337"/>
      <c r="E10" s="1320" t="s">
        <v>1278</v>
      </c>
      <c r="F10" s="1805">
        <v>16</v>
      </c>
      <c r="G10" s="1805">
        <v>10</v>
      </c>
      <c r="J10" s="439">
        <v>16</v>
      </c>
      <c r="K10" s="1320" t="s">
        <v>1276</v>
      </c>
      <c r="L10" s="1449">
        <v>53</v>
      </c>
      <c r="M10" s="1449">
        <v>213</v>
      </c>
      <c r="N10" s="1449">
        <v>129</v>
      </c>
      <c r="O10" s="1449">
        <v>58</v>
      </c>
      <c r="P10" s="441">
        <f>+AK17</f>
        <v>20</v>
      </c>
      <c r="T10" s="1598">
        <v>4</v>
      </c>
      <c r="U10" s="1933" t="s">
        <v>1300</v>
      </c>
      <c r="V10" s="1449">
        <v>5</v>
      </c>
      <c r="W10" s="1449">
        <v>4</v>
      </c>
      <c r="X10" s="1449">
        <v>0</v>
      </c>
      <c r="Y10" s="1449">
        <v>43</v>
      </c>
      <c r="Z10" s="1957">
        <f>SUM(V10:Y10)</f>
        <v>52</v>
      </c>
      <c r="AA10" s="1449">
        <v>9</v>
      </c>
      <c r="AB10" s="1449">
        <v>84</v>
      </c>
      <c r="AC10" s="1449">
        <v>41</v>
      </c>
      <c r="AD10" s="1449">
        <v>4</v>
      </c>
      <c r="AE10" s="1957">
        <f>SUM(AB10:AD10)</f>
        <v>129</v>
      </c>
      <c r="AF10" s="1449">
        <v>107</v>
      </c>
      <c r="AG10" s="1449">
        <v>8</v>
      </c>
      <c r="AH10" s="1449">
        <v>7</v>
      </c>
      <c r="AI10" s="1449">
        <v>6</v>
      </c>
      <c r="AJ10" s="1957">
        <f>SUM(AF10:AI10)</f>
        <v>128</v>
      </c>
    </row>
    <row r="11" spans="1:38" ht="23.25">
      <c r="A11" s="1804" t="s">
        <v>1278</v>
      </c>
      <c r="B11" s="1450">
        <v>1635</v>
      </c>
      <c r="C11" s="1450">
        <v>409</v>
      </c>
      <c r="D11" s="1337"/>
      <c r="E11" s="1320" t="s">
        <v>1277</v>
      </c>
      <c r="F11" s="1805">
        <v>28</v>
      </c>
      <c r="G11" s="1805">
        <v>6</v>
      </c>
      <c r="J11" s="439">
        <v>28</v>
      </c>
      <c r="K11" s="1320" t="s">
        <v>1277</v>
      </c>
      <c r="L11" s="1449">
        <v>36</v>
      </c>
      <c r="M11" s="1449">
        <v>122</v>
      </c>
      <c r="N11" s="1449">
        <v>46</v>
      </c>
      <c r="O11" s="1449">
        <v>31</v>
      </c>
      <c r="P11" s="441">
        <f>+AK18</f>
        <v>14</v>
      </c>
      <c r="T11" s="1938"/>
      <c r="U11" s="1938"/>
      <c r="V11" s="1449"/>
      <c r="W11" s="1449"/>
      <c r="X11" s="1449"/>
      <c r="Y11" s="1449"/>
      <c r="Z11" s="1957"/>
      <c r="AA11" s="1449"/>
      <c r="AB11" s="1449"/>
      <c r="AC11" s="1449"/>
      <c r="AD11" s="1449"/>
      <c r="AE11" s="1957"/>
      <c r="AF11" s="1449"/>
      <c r="AG11" s="1449"/>
      <c r="AH11" s="1449"/>
      <c r="AI11" s="1449"/>
      <c r="AJ11" s="1957"/>
    </row>
    <row r="12" spans="1:38" ht="23.25">
      <c r="A12" s="667" t="s">
        <v>235</v>
      </c>
      <c r="B12" s="1328">
        <f>SUM(B5:B11)</f>
        <v>2525</v>
      </c>
      <c r="C12" s="1328">
        <f>SUM(C5:C11)</f>
        <v>728</v>
      </c>
      <c r="D12" s="1337"/>
      <c r="E12" s="1320" t="s">
        <v>1283</v>
      </c>
      <c r="F12" s="1805">
        <v>197</v>
      </c>
      <c r="G12" s="1805">
        <v>77</v>
      </c>
      <c r="H12" s="440"/>
      <c r="K12" s="1320" t="s">
        <v>1278</v>
      </c>
      <c r="L12" s="1449">
        <v>250</v>
      </c>
      <c r="M12" s="1449">
        <v>685</v>
      </c>
      <c r="N12" s="1449">
        <v>483</v>
      </c>
      <c r="O12" s="1449">
        <v>255</v>
      </c>
      <c r="P12" s="441">
        <f>+AK19</f>
        <v>0</v>
      </c>
      <c r="T12" s="1939" t="s">
        <v>1310</v>
      </c>
      <c r="U12" s="1806" t="s">
        <v>1270</v>
      </c>
      <c r="V12" s="1449"/>
      <c r="W12" s="1449"/>
      <c r="X12" s="1449"/>
      <c r="Y12" s="1449"/>
      <c r="Z12" s="1957"/>
      <c r="AA12" s="1449"/>
      <c r="AB12" s="1449"/>
      <c r="AC12" s="1449"/>
      <c r="AD12" s="1449"/>
      <c r="AE12" s="1957"/>
      <c r="AF12" s="1449"/>
      <c r="AG12" s="1449"/>
      <c r="AH12" s="1449"/>
      <c r="AI12" s="1449"/>
      <c r="AJ12" s="1957"/>
    </row>
    <row r="13" spans="1:38" ht="23.25">
      <c r="A13" s="666" t="s">
        <v>1279</v>
      </c>
      <c r="B13" s="1337"/>
      <c r="C13" s="1337"/>
      <c r="D13" s="1337"/>
      <c r="E13" s="667" t="s">
        <v>235</v>
      </c>
      <c r="F13" s="1451">
        <f>SUM(F5:F12)</f>
        <v>310</v>
      </c>
      <c r="G13" s="1451">
        <f>SUM(G5:G12)</f>
        <v>109</v>
      </c>
      <c r="I13" s="442"/>
      <c r="K13" s="1606" t="s">
        <v>235</v>
      </c>
      <c r="L13" s="1328">
        <f>SUBTOTAL(109,L6:L12)</f>
        <v>402</v>
      </c>
      <c r="M13" s="1328">
        <f t="shared" ref="M13:O13" si="0">SUBTOTAL(109,M6:M12)</f>
        <v>1151</v>
      </c>
      <c r="N13" s="1328">
        <f t="shared" si="0"/>
        <v>737</v>
      </c>
      <c r="O13" s="1328">
        <f t="shared" si="0"/>
        <v>425</v>
      </c>
      <c r="Q13" s="442"/>
      <c r="T13" s="1943">
        <v>1</v>
      </c>
      <c r="U13" s="1320" t="s">
        <v>1272</v>
      </c>
      <c r="V13" s="1449">
        <v>0</v>
      </c>
      <c r="W13" s="1449">
        <v>0</v>
      </c>
      <c r="X13" s="1449">
        <v>12</v>
      </c>
      <c r="Y13" s="1449">
        <v>0</v>
      </c>
      <c r="Z13" s="1957">
        <v>12</v>
      </c>
      <c r="AA13" s="1449">
        <v>0</v>
      </c>
      <c r="AB13" s="1449">
        <v>0</v>
      </c>
      <c r="AC13" s="1449">
        <v>14</v>
      </c>
      <c r="AD13" s="1449">
        <v>2</v>
      </c>
      <c r="AE13" s="1957">
        <v>16</v>
      </c>
      <c r="AF13" s="1449">
        <v>0</v>
      </c>
      <c r="AG13" s="1449">
        <v>0</v>
      </c>
      <c r="AH13" s="1449">
        <v>0</v>
      </c>
      <c r="AI13" s="1449">
        <v>3</v>
      </c>
      <c r="AJ13" s="1957">
        <v>3</v>
      </c>
      <c r="AK13" s="441">
        <v>17</v>
      </c>
      <c r="AL13" s="441">
        <f>+Z13+AE13+AJ13+AK13</f>
        <v>48</v>
      </c>
    </row>
    <row r="14" spans="1:38" ht="23.25">
      <c r="E14" s="1322" t="s">
        <v>1279</v>
      </c>
      <c r="F14" s="1804"/>
      <c r="G14" s="443"/>
      <c r="H14" s="443"/>
      <c r="T14" s="1943">
        <v>2</v>
      </c>
      <c r="U14" s="1320" t="s">
        <v>1273</v>
      </c>
      <c r="V14" s="1449">
        <v>0</v>
      </c>
      <c r="W14" s="1449">
        <v>1</v>
      </c>
      <c r="X14" s="1449">
        <v>15</v>
      </c>
      <c r="Y14" s="1449">
        <v>0</v>
      </c>
      <c r="Z14" s="1957">
        <v>16</v>
      </c>
      <c r="AA14" s="1449">
        <v>0</v>
      </c>
      <c r="AB14" s="1449">
        <v>0</v>
      </c>
      <c r="AC14" s="1449">
        <v>19</v>
      </c>
      <c r="AD14" s="1449">
        <v>10</v>
      </c>
      <c r="AE14" s="1957">
        <v>29</v>
      </c>
      <c r="AF14" s="1449">
        <v>0</v>
      </c>
      <c r="AG14" s="1449">
        <v>1</v>
      </c>
      <c r="AH14" s="1449">
        <v>0</v>
      </c>
      <c r="AI14" s="1449">
        <v>12</v>
      </c>
      <c r="AJ14" s="1957">
        <v>13</v>
      </c>
      <c r="AK14" s="441">
        <v>18</v>
      </c>
      <c r="AL14" s="441">
        <f t="shared" ref="AL14:AL18" si="1">+Z14+AE14+AJ14+AK14</f>
        <v>76</v>
      </c>
    </row>
    <row r="15" spans="1:38" ht="23.25">
      <c r="D15" s="443"/>
      <c r="T15" s="1943">
        <v>3</v>
      </c>
      <c r="U15" s="1320" t="s">
        <v>1274</v>
      </c>
      <c r="V15" s="1449">
        <v>0</v>
      </c>
      <c r="W15" s="1449">
        <v>0</v>
      </c>
      <c r="X15" s="1449">
        <v>1</v>
      </c>
      <c r="Y15" s="1449">
        <v>0</v>
      </c>
      <c r="Z15" s="1957">
        <v>1</v>
      </c>
      <c r="AA15" s="1449">
        <v>0</v>
      </c>
      <c r="AB15" s="1449">
        <v>0</v>
      </c>
      <c r="AC15" s="1449">
        <v>0</v>
      </c>
      <c r="AD15" s="1449">
        <v>2</v>
      </c>
      <c r="AE15" s="1957">
        <v>2</v>
      </c>
      <c r="AF15" s="1449">
        <v>0</v>
      </c>
      <c r="AG15" s="1449">
        <v>0</v>
      </c>
      <c r="AH15" s="1449">
        <v>0</v>
      </c>
      <c r="AI15" s="1449">
        <v>3</v>
      </c>
      <c r="AJ15" s="1957">
        <v>3</v>
      </c>
      <c r="AK15" s="441">
        <v>3</v>
      </c>
      <c r="AL15" s="441">
        <f t="shared" si="1"/>
        <v>9</v>
      </c>
    </row>
    <row r="16" spans="1:38" ht="23.25">
      <c r="T16" s="1598">
        <v>4</v>
      </c>
      <c r="U16" s="1320" t="s">
        <v>1275</v>
      </c>
      <c r="V16" s="1449">
        <v>0</v>
      </c>
      <c r="W16" s="1449">
        <v>3</v>
      </c>
      <c r="X16" s="1449">
        <v>0</v>
      </c>
      <c r="Y16" s="1449">
        <v>2</v>
      </c>
      <c r="Z16" s="1957">
        <v>5</v>
      </c>
      <c r="AA16" s="1449">
        <v>0</v>
      </c>
      <c r="AB16" s="1449">
        <v>0</v>
      </c>
      <c r="AC16" s="1449">
        <v>10</v>
      </c>
      <c r="AD16" s="1449">
        <v>1</v>
      </c>
      <c r="AE16" s="1957">
        <v>11</v>
      </c>
      <c r="AF16" s="1449">
        <v>0</v>
      </c>
      <c r="AG16" s="1449">
        <v>3</v>
      </c>
      <c r="AH16" s="1449">
        <v>0</v>
      </c>
      <c r="AI16" s="1449">
        <v>0</v>
      </c>
      <c r="AJ16" s="1957">
        <v>3</v>
      </c>
      <c r="AK16" s="441">
        <v>0</v>
      </c>
      <c r="AL16" s="441">
        <f t="shared" si="1"/>
        <v>19</v>
      </c>
    </row>
    <row r="17" spans="11:38" ht="23.25">
      <c r="T17" s="1598">
        <v>5</v>
      </c>
      <c r="U17" s="1320" t="s">
        <v>1276</v>
      </c>
      <c r="V17" s="1449">
        <v>0</v>
      </c>
      <c r="W17" s="1449">
        <v>7</v>
      </c>
      <c r="X17" s="1449">
        <v>1</v>
      </c>
      <c r="Y17" s="1449">
        <v>7</v>
      </c>
      <c r="Z17" s="1957">
        <v>15</v>
      </c>
      <c r="AA17" s="1449">
        <v>0</v>
      </c>
      <c r="AB17" s="1449">
        <v>0</v>
      </c>
      <c r="AC17" s="1449">
        <v>33</v>
      </c>
      <c r="AD17" s="1449">
        <v>12</v>
      </c>
      <c r="AE17" s="1957">
        <v>45</v>
      </c>
      <c r="AF17" s="1449">
        <v>0</v>
      </c>
      <c r="AG17" s="1449">
        <v>7</v>
      </c>
      <c r="AH17" s="1449">
        <v>0</v>
      </c>
      <c r="AI17" s="1449">
        <v>21</v>
      </c>
      <c r="AJ17" s="1957">
        <v>28</v>
      </c>
      <c r="AK17" s="441">
        <v>20</v>
      </c>
      <c r="AL17" s="441">
        <f t="shared" si="1"/>
        <v>108</v>
      </c>
    </row>
    <row r="18" spans="11:38" ht="23.25">
      <c r="T18" s="1598">
        <v>6</v>
      </c>
      <c r="U18" s="1320" t="s">
        <v>1277</v>
      </c>
      <c r="V18" s="1449">
        <v>0</v>
      </c>
      <c r="W18" s="1449">
        <v>1</v>
      </c>
      <c r="X18" s="1449">
        <v>11</v>
      </c>
      <c r="Y18" s="1449">
        <v>1</v>
      </c>
      <c r="Z18" s="1957">
        <v>13</v>
      </c>
      <c r="AA18" s="1449">
        <v>0</v>
      </c>
      <c r="AB18" s="1449">
        <v>0</v>
      </c>
      <c r="AC18" s="1449">
        <v>13</v>
      </c>
      <c r="AD18" s="1449">
        <v>3</v>
      </c>
      <c r="AE18" s="1957">
        <v>16</v>
      </c>
      <c r="AF18" s="1449">
        <v>0</v>
      </c>
      <c r="AG18" s="1449">
        <v>5</v>
      </c>
      <c r="AH18" s="1449">
        <v>0</v>
      </c>
      <c r="AI18" s="1449">
        <v>11</v>
      </c>
      <c r="AJ18" s="1957">
        <v>16</v>
      </c>
      <c r="AK18" s="441">
        <v>14</v>
      </c>
      <c r="AL18" s="441">
        <f t="shared" si="1"/>
        <v>59</v>
      </c>
    </row>
    <row r="19" spans="11:38" ht="23.25">
      <c r="K19" s="1319" t="s">
        <v>1280</v>
      </c>
      <c r="L19" s="1404" t="s">
        <v>1289</v>
      </c>
      <c r="M19" s="1404" t="s">
        <v>1290</v>
      </c>
      <c r="N19" s="1404" t="s">
        <v>1291</v>
      </c>
      <c r="O19" s="1404" t="s">
        <v>1292</v>
      </c>
      <c r="P19" s="441" t="s">
        <v>1318</v>
      </c>
      <c r="T19" s="1598">
        <v>7</v>
      </c>
      <c r="U19" s="1320" t="s">
        <v>1278</v>
      </c>
      <c r="V19" s="1449">
        <v>0</v>
      </c>
      <c r="W19" s="1449">
        <v>43</v>
      </c>
      <c r="X19" s="1449">
        <v>16</v>
      </c>
      <c r="Y19" s="1449">
        <v>66</v>
      </c>
      <c r="Z19" s="1957">
        <v>125</v>
      </c>
      <c r="AA19" s="1449">
        <v>0</v>
      </c>
      <c r="AB19" s="1449">
        <v>0</v>
      </c>
      <c r="AC19" s="1449">
        <v>94</v>
      </c>
      <c r="AD19" s="1449">
        <v>32</v>
      </c>
      <c r="AE19" s="1957">
        <v>126</v>
      </c>
      <c r="AF19" s="1449">
        <v>0</v>
      </c>
      <c r="AG19" s="1449">
        <v>63</v>
      </c>
      <c r="AH19" s="1449">
        <v>0</v>
      </c>
      <c r="AI19" s="1449">
        <v>95</v>
      </c>
      <c r="AJ19" s="1957">
        <v>158</v>
      </c>
      <c r="AK19" s="441">
        <v>0</v>
      </c>
      <c r="AL19" s="441">
        <v>0</v>
      </c>
    </row>
    <row r="20" spans="11:38" ht="23.25">
      <c r="K20" s="1320" t="s">
        <v>1272</v>
      </c>
      <c r="L20" s="1450"/>
      <c r="M20" s="1450"/>
      <c r="N20" s="1450"/>
      <c r="O20" s="1450"/>
      <c r="T20" s="1598">
        <v>8</v>
      </c>
      <c r="U20" s="1599" t="s">
        <v>809</v>
      </c>
      <c r="V20" s="1449">
        <v>0</v>
      </c>
      <c r="W20" s="1449">
        <v>55</v>
      </c>
      <c r="X20" s="1449">
        <v>56</v>
      </c>
      <c r="Y20" s="1449">
        <v>76</v>
      </c>
      <c r="Z20" s="1957">
        <v>187</v>
      </c>
      <c r="AA20" s="1449">
        <v>0</v>
      </c>
      <c r="AB20" s="1449">
        <v>0</v>
      </c>
      <c r="AC20" s="1449">
        <v>183</v>
      </c>
      <c r="AD20" s="1449">
        <v>62</v>
      </c>
      <c r="AE20" s="1957">
        <v>245</v>
      </c>
      <c r="AF20" s="1449">
        <v>0</v>
      </c>
      <c r="AG20" s="1449">
        <v>79</v>
      </c>
      <c r="AH20" s="1449">
        <v>0</v>
      </c>
      <c r="AI20" s="1449">
        <v>145</v>
      </c>
      <c r="AJ20" s="1957">
        <v>224</v>
      </c>
      <c r="AK20" s="1957">
        <f>SUM(AK13:AK19)</f>
        <v>72</v>
      </c>
    </row>
    <row r="21" spans="11:38" ht="23.25">
      <c r="K21" s="1320" t="s">
        <v>1273</v>
      </c>
      <c r="L21" s="1450"/>
      <c r="M21" s="1450"/>
      <c r="N21" s="1450"/>
      <c r="O21" s="1450"/>
      <c r="T21" s="1938"/>
      <c r="U21" s="1938"/>
      <c r="V21" s="1449"/>
      <c r="W21" s="1449"/>
      <c r="X21" s="1449"/>
      <c r="Y21" s="1449"/>
      <c r="Z21" s="1957"/>
      <c r="AA21" s="1449"/>
      <c r="AB21" s="1449"/>
      <c r="AC21" s="1449"/>
      <c r="AD21" s="1449"/>
      <c r="AE21" s="1957"/>
      <c r="AF21" s="1449"/>
      <c r="AG21" s="1449"/>
      <c r="AH21" s="1449"/>
      <c r="AI21" s="1449"/>
      <c r="AJ21" s="1957"/>
    </row>
    <row r="22" spans="11:38" ht="23.25">
      <c r="K22" s="1320" t="s">
        <v>1281</v>
      </c>
      <c r="L22" s="1450"/>
      <c r="M22" s="1450"/>
      <c r="N22" s="1450"/>
      <c r="O22" s="1450"/>
      <c r="T22" s="1939" t="s">
        <v>1311</v>
      </c>
      <c r="U22" s="1806" t="s">
        <v>1312</v>
      </c>
      <c r="V22" s="1449"/>
      <c r="W22" s="1449"/>
      <c r="X22" s="1449"/>
      <c r="Y22" s="1449"/>
      <c r="Z22" s="1957"/>
      <c r="AA22" s="1449"/>
      <c r="AB22" s="1449"/>
      <c r="AC22" s="1449"/>
      <c r="AD22" s="1449"/>
      <c r="AE22" s="1957"/>
      <c r="AF22" s="1449"/>
      <c r="AG22" s="1449"/>
      <c r="AH22" s="1449"/>
      <c r="AI22" s="1449"/>
      <c r="AJ22" s="1957"/>
    </row>
    <row r="23" spans="11:38" ht="23.25">
      <c r="K23" s="1320" t="s">
        <v>1282</v>
      </c>
      <c r="L23" s="1450"/>
      <c r="M23" s="1450"/>
      <c r="N23" s="1450"/>
      <c r="O23" s="1450"/>
      <c r="T23" s="1943">
        <v>1</v>
      </c>
      <c r="U23" s="1944" t="s">
        <v>1272</v>
      </c>
      <c r="V23" s="1449">
        <v>0</v>
      </c>
      <c r="W23" s="1449">
        <v>0</v>
      </c>
      <c r="X23" s="1449">
        <v>0</v>
      </c>
      <c r="Y23" s="1449">
        <v>0</v>
      </c>
      <c r="Z23" s="1957">
        <v>0</v>
      </c>
      <c r="AA23" s="1449">
        <v>0</v>
      </c>
      <c r="AB23" s="1449">
        <v>0</v>
      </c>
      <c r="AC23" s="1449">
        <v>0</v>
      </c>
      <c r="AD23" s="1449">
        <v>0</v>
      </c>
      <c r="AE23" s="1957">
        <v>0</v>
      </c>
      <c r="AF23" s="1449">
        <v>0</v>
      </c>
      <c r="AG23" s="1449">
        <v>0</v>
      </c>
      <c r="AH23" s="1449">
        <v>0</v>
      </c>
      <c r="AI23" s="1449">
        <v>0</v>
      </c>
      <c r="AJ23" s="1957">
        <v>0</v>
      </c>
      <c r="AK23" s="441">
        <v>0</v>
      </c>
      <c r="AL23" s="441">
        <f>+AJ23+AE23+Z23+AK23</f>
        <v>0</v>
      </c>
    </row>
    <row r="24" spans="11:38" ht="23.25">
      <c r="K24" s="1320" t="s">
        <v>1275</v>
      </c>
      <c r="L24" s="1450"/>
      <c r="M24" s="1450"/>
      <c r="N24" s="1450"/>
      <c r="O24" s="1450"/>
      <c r="T24" s="1943">
        <v>2</v>
      </c>
      <c r="U24" s="1944" t="s">
        <v>1273</v>
      </c>
      <c r="V24" s="1449">
        <v>0</v>
      </c>
      <c r="W24" s="1449">
        <v>1</v>
      </c>
      <c r="X24" s="1449">
        <v>1</v>
      </c>
      <c r="Y24" s="1449">
        <v>0</v>
      </c>
      <c r="Z24" s="1957">
        <v>2</v>
      </c>
      <c r="AA24" s="1449">
        <v>0</v>
      </c>
      <c r="AB24" s="1449">
        <v>0</v>
      </c>
      <c r="AC24" s="1449">
        <v>0</v>
      </c>
      <c r="AD24" s="1449">
        <v>0</v>
      </c>
      <c r="AE24" s="1957">
        <v>0</v>
      </c>
      <c r="AF24" s="1449">
        <v>0</v>
      </c>
      <c r="AG24" s="1449">
        <v>0</v>
      </c>
      <c r="AH24" s="1449">
        <v>0</v>
      </c>
      <c r="AI24" s="1449">
        <v>1</v>
      </c>
      <c r="AJ24" s="1957">
        <v>1</v>
      </c>
      <c r="AK24" s="441">
        <v>0</v>
      </c>
      <c r="AL24" s="441">
        <f t="shared" ref="AL24:AL30" si="2">+AJ24+AE24+Z24+AK24</f>
        <v>3</v>
      </c>
    </row>
    <row r="25" spans="11:38" ht="23.25">
      <c r="K25" s="1320" t="s">
        <v>1278</v>
      </c>
      <c r="L25" s="1450"/>
      <c r="M25" s="1450"/>
      <c r="N25" s="1450"/>
      <c r="O25" s="1450"/>
      <c r="T25" s="1943">
        <v>3</v>
      </c>
      <c r="U25" s="1944" t="s">
        <v>1281</v>
      </c>
      <c r="V25" s="1449">
        <v>0</v>
      </c>
      <c r="W25" s="1449">
        <v>1</v>
      </c>
      <c r="X25" s="1449">
        <v>0</v>
      </c>
      <c r="Y25" s="1449">
        <v>1</v>
      </c>
      <c r="Z25" s="1957">
        <v>2</v>
      </c>
      <c r="AA25" s="1449">
        <v>0</v>
      </c>
      <c r="AB25" s="1449">
        <v>0</v>
      </c>
      <c r="AC25" s="1449">
        <v>0</v>
      </c>
      <c r="AD25" s="1449">
        <v>2</v>
      </c>
      <c r="AE25" s="1957">
        <v>2</v>
      </c>
      <c r="AF25" s="1449">
        <v>0</v>
      </c>
      <c r="AG25" s="1449">
        <v>0</v>
      </c>
      <c r="AH25" s="1449">
        <v>0</v>
      </c>
      <c r="AI25" s="1449">
        <v>0</v>
      </c>
      <c r="AJ25" s="1957">
        <v>0</v>
      </c>
      <c r="AK25" s="441">
        <v>2</v>
      </c>
      <c r="AL25" s="441">
        <f t="shared" si="2"/>
        <v>6</v>
      </c>
    </row>
    <row r="26" spans="11:38" ht="23.25">
      <c r="K26" s="1320" t="s">
        <v>1277</v>
      </c>
      <c r="L26" s="1450"/>
      <c r="M26" s="1450"/>
      <c r="N26" s="1450"/>
      <c r="O26" s="1450"/>
      <c r="T26" s="1943">
        <v>4</v>
      </c>
      <c r="U26" s="1944" t="s">
        <v>1282</v>
      </c>
      <c r="V26" s="1449">
        <v>1</v>
      </c>
      <c r="W26" s="1449">
        <v>2</v>
      </c>
      <c r="X26" s="1449">
        <v>0</v>
      </c>
      <c r="Y26" s="1449">
        <v>0</v>
      </c>
      <c r="Z26" s="1957">
        <v>3</v>
      </c>
      <c r="AA26" s="1449">
        <v>0</v>
      </c>
      <c r="AB26" s="1449">
        <v>0</v>
      </c>
      <c r="AC26" s="1449">
        <v>0</v>
      </c>
      <c r="AD26" s="1449">
        <v>1</v>
      </c>
      <c r="AE26" s="1957">
        <v>1</v>
      </c>
      <c r="AF26" s="1449">
        <v>0</v>
      </c>
      <c r="AG26" s="1449">
        <v>1</v>
      </c>
      <c r="AH26" s="1449">
        <v>0</v>
      </c>
      <c r="AI26" s="1449">
        <v>0</v>
      </c>
      <c r="AJ26" s="1957">
        <v>1</v>
      </c>
      <c r="AK26" s="441">
        <v>0</v>
      </c>
      <c r="AL26" s="441">
        <f t="shared" si="2"/>
        <v>5</v>
      </c>
    </row>
    <row r="27" spans="11:38" ht="23.25">
      <c r="K27" s="1320" t="s">
        <v>1283</v>
      </c>
      <c r="L27" s="1450"/>
      <c r="M27" s="1450"/>
      <c r="N27" s="1450"/>
      <c r="O27" s="1450"/>
      <c r="T27" s="1598">
        <v>5</v>
      </c>
      <c r="U27" s="1933" t="s">
        <v>1275</v>
      </c>
      <c r="V27" s="1449">
        <v>0</v>
      </c>
      <c r="W27" s="1449">
        <v>0</v>
      </c>
      <c r="X27" s="1449">
        <v>0</v>
      </c>
      <c r="Y27" s="1449">
        <v>0</v>
      </c>
      <c r="Z27" s="1957">
        <v>0</v>
      </c>
      <c r="AA27" s="1449">
        <v>0</v>
      </c>
      <c r="AB27" s="1449">
        <v>0</v>
      </c>
      <c r="AC27" s="1449">
        <v>0</v>
      </c>
      <c r="AD27" s="1449">
        <v>1</v>
      </c>
      <c r="AE27" s="1957">
        <v>1</v>
      </c>
      <c r="AF27" s="1449">
        <v>0</v>
      </c>
      <c r="AG27" s="1449">
        <v>0</v>
      </c>
      <c r="AH27" s="1449">
        <v>0</v>
      </c>
      <c r="AI27" s="1449">
        <v>1</v>
      </c>
      <c r="AJ27" s="1957">
        <v>1</v>
      </c>
      <c r="AK27" s="441">
        <v>0</v>
      </c>
      <c r="AL27" s="441">
        <f t="shared" si="2"/>
        <v>2</v>
      </c>
    </row>
    <row r="28" spans="11:38" ht="23.25">
      <c r="K28" s="667" t="s">
        <v>235</v>
      </c>
      <c r="L28" s="1451">
        <f>SUM(L20:L27)</f>
        <v>0</v>
      </c>
      <c r="M28" s="1451">
        <f t="shared" ref="M28:O28" si="3">SUM(M20:M27)</f>
        <v>0</v>
      </c>
      <c r="N28" s="1451">
        <f t="shared" si="3"/>
        <v>0</v>
      </c>
      <c r="O28" s="1451">
        <f t="shared" si="3"/>
        <v>0</v>
      </c>
      <c r="T28" s="1598">
        <v>6</v>
      </c>
      <c r="U28" s="1933" t="s">
        <v>1278</v>
      </c>
      <c r="V28" s="1449">
        <v>0</v>
      </c>
      <c r="W28" s="1449">
        <v>0</v>
      </c>
      <c r="X28" s="1449">
        <v>0</v>
      </c>
      <c r="Y28" s="1449">
        <v>1</v>
      </c>
      <c r="Z28" s="1957">
        <v>1</v>
      </c>
      <c r="AA28" s="1449">
        <v>1</v>
      </c>
      <c r="AB28" s="1449">
        <v>1</v>
      </c>
      <c r="AC28" s="1449">
        <v>0</v>
      </c>
      <c r="AD28" s="1449">
        <v>0</v>
      </c>
      <c r="AE28" s="1957">
        <v>2</v>
      </c>
      <c r="AF28" s="1449">
        <v>6</v>
      </c>
      <c r="AG28" s="1449">
        <v>0</v>
      </c>
      <c r="AH28" s="1449">
        <v>0</v>
      </c>
      <c r="AI28" s="1449">
        <v>0</v>
      </c>
      <c r="AJ28" s="1957">
        <v>6</v>
      </c>
      <c r="AK28" s="441">
        <v>1</v>
      </c>
      <c r="AL28" s="441">
        <f t="shared" si="2"/>
        <v>10</v>
      </c>
    </row>
    <row r="29" spans="11:38" ht="23.25">
      <c r="T29" s="1598">
        <v>7</v>
      </c>
      <c r="U29" s="1933" t="s">
        <v>1277</v>
      </c>
      <c r="V29" s="1449">
        <v>1</v>
      </c>
      <c r="W29" s="1449">
        <v>0</v>
      </c>
      <c r="X29" s="1449">
        <v>1</v>
      </c>
      <c r="Y29" s="1449">
        <v>0</v>
      </c>
      <c r="Z29" s="1957">
        <v>2</v>
      </c>
      <c r="AA29" s="1449">
        <v>2</v>
      </c>
      <c r="AB29" s="1449">
        <v>0</v>
      </c>
      <c r="AC29" s="1449">
        <v>0</v>
      </c>
      <c r="AD29" s="1449">
        <v>0</v>
      </c>
      <c r="AE29" s="1957">
        <v>2</v>
      </c>
      <c r="AF29" s="1449">
        <v>0</v>
      </c>
      <c r="AG29" s="1449">
        <v>0</v>
      </c>
      <c r="AH29" s="1449">
        <v>0</v>
      </c>
      <c r="AI29" s="1449">
        <v>1</v>
      </c>
      <c r="AJ29" s="1957">
        <v>1</v>
      </c>
      <c r="AK29" s="441">
        <v>1</v>
      </c>
      <c r="AL29" s="441">
        <f t="shared" si="2"/>
        <v>6</v>
      </c>
    </row>
    <row r="30" spans="11:38" ht="23.25">
      <c r="T30" s="1598">
        <v>8</v>
      </c>
      <c r="U30" s="1933" t="s">
        <v>1283</v>
      </c>
      <c r="V30" s="1449">
        <v>13</v>
      </c>
      <c r="W30" s="1449">
        <v>0</v>
      </c>
      <c r="X30" s="1449">
        <v>0</v>
      </c>
      <c r="Y30" s="1449">
        <v>0</v>
      </c>
      <c r="Z30" s="1957">
        <v>13</v>
      </c>
      <c r="AA30" s="1449">
        <v>17</v>
      </c>
      <c r="AB30" s="1449">
        <v>0</v>
      </c>
      <c r="AC30" s="1449">
        <v>18</v>
      </c>
      <c r="AD30" s="1449">
        <v>23</v>
      </c>
      <c r="AE30" s="1957">
        <v>58</v>
      </c>
      <c r="AF30" s="1449">
        <v>1</v>
      </c>
      <c r="AG30" s="1449">
        <v>2</v>
      </c>
      <c r="AH30" s="1449">
        <v>3</v>
      </c>
      <c r="AI30" s="1449">
        <v>0</v>
      </c>
      <c r="AJ30" s="1957">
        <v>6</v>
      </c>
      <c r="AK30" s="441">
        <v>0</v>
      </c>
      <c r="AL30" s="441">
        <f t="shared" si="2"/>
        <v>77</v>
      </c>
    </row>
    <row r="31" spans="11:38" ht="23.25">
      <c r="T31" s="1598">
        <v>9</v>
      </c>
      <c r="U31" s="1599" t="s">
        <v>809</v>
      </c>
      <c r="V31" s="1449">
        <v>15</v>
      </c>
      <c r="W31" s="1449">
        <v>4</v>
      </c>
      <c r="X31" s="1449">
        <v>2</v>
      </c>
      <c r="Y31" s="1449">
        <v>2</v>
      </c>
      <c r="Z31" s="1957">
        <v>23</v>
      </c>
      <c r="AA31" s="1449">
        <v>20</v>
      </c>
      <c r="AB31" s="1449">
        <v>1</v>
      </c>
      <c r="AC31" s="1449">
        <v>18</v>
      </c>
      <c r="AD31" s="1449">
        <v>27</v>
      </c>
      <c r="AE31" s="1957">
        <v>66</v>
      </c>
      <c r="AF31" s="1449">
        <v>7</v>
      </c>
      <c r="AG31" s="1449">
        <v>3</v>
      </c>
      <c r="AH31" s="1449">
        <v>3</v>
      </c>
      <c r="AI31" s="1449">
        <v>3</v>
      </c>
      <c r="AJ31" s="1957">
        <v>16</v>
      </c>
      <c r="AK31" s="441">
        <f>SUM(AK23:AK30)</f>
        <v>4</v>
      </c>
      <c r="AL31" s="441">
        <f>+AJ31+AE31+Z31+AK31</f>
        <v>109</v>
      </c>
    </row>
    <row r="32" spans="11:38" ht="23.25">
      <c r="T32" s="435"/>
      <c r="U32" s="435"/>
      <c r="V32" s="1449"/>
      <c r="W32" s="1449"/>
      <c r="X32" s="1449"/>
      <c r="Y32" s="1449"/>
      <c r="Z32" s="1957"/>
      <c r="AA32" s="1449"/>
      <c r="AB32" s="1449"/>
      <c r="AC32" s="1449"/>
      <c r="AD32" s="1449"/>
      <c r="AE32" s="1957"/>
      <c r="AF32" s="1449"/>
      <c r="AG32" s="1449"/>
      <c r="AH32" s="1449"/>
      <c r="AI32" s="1449"/>
      <c r="AJ32" s="1957"/>
    </row>
  </sheetData>
  <mergeCells count="10">
    <mergeCell ref="T5:U6"/>
    <mergeCell ref="V5:Z5"/>
    <mergeCell ref="AA5:AE5"/>
    <mergeCell ref="AF5:AJ5"/>
    <mergeCell ref="I3:J3"/>
    <mergeCell ref="A1:H1"/>
    <mergeCell ref="A3:C3"/>
    <mergeCell ref="A2:H2"/>
    <mergeCell ref="D3:E3"/>
    <mergeCell ref="G3:H3"/>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7030A0"/>
    <pageSetUpPr fitToPage="1"/>
  </sheetPr>
  <dimension ref="A1:O48"/>
  <sheetViews>
    <sheetView zoomScale="85" zoomScaleNormal="85" workbookViewId="0">
      <selection activeCell="G10" sqref="G10"/>
    </sheetView>
  </sheetViews>
  <sheetFormatPr defaultColWidth="11.42578125" defaultRowHeight="15"/>
  <cols>
    <col min="1" max="1" width="5" style="1823" customWidth="1"/>
    <col min="2" max="2" width="36.5703125" customWidth="1"/>
    <col min="7" max="7" width="11.42578125" style="15"/>
    <col min="9" max="9" width="14" customWidth="1"/>
    <col min="10" max="10" width="12.5703125" customWidth="1"/>
    <col min="11" max="11" width="10.42578125" customWidth="1"/>
    <col min="15" max="15" width="8.140625" customWidth="1"/>
  </cols>
  <sheetData>
    <row r="1" spans="1:15">
      <c r="I1" s="2396" t="s">
        <v>1319</v>
      </c>
      <c r="J1" s="2396"/>
      <c r="K1" s="2396"/>
      <c r="M1" s="2397" t="s">
        <v>1320</v>
      </c>
      <c r="N1" s="2395"/>
      <c r="O1" s="2395"/>
    </row>
    <row r="2" spans="1:15">
      <c r="A2" s="2384" t="s">
        <v>1321</v>
      </c>
      <c r="B2" s="2399"/>
      <c r="I2" s="2396"/>
      <c r="J2" s="2396"/>
      <c r="K2" s="2396"/>
      <c r="M2" s="2395"/>
      <c r="N2" s="2395"/>
      <c r="O2" s="2395"/>
    </row>
    <row r="3" spans="1:15">
      <c r="A3" s="2386"/>
      <c r="B3" s="2400"/>
      <c r="C3" s="234" t="s">
        <v>1289</v>
      </c>
      <c r="D3" s="234" t="s">
        <v>1290</v>
      </c>
      <c r="E3" s="234" t="s">
        <v>1291</v>
      </c>
      <c r="F3" s="234" t="s">
        <v>1292</v>
      </c>
      <c r="G3" s="234" t="s">
        <v>235</v>
      </c>
      <c r="I3" s="2396"/>
      <c r="J3" s="2396"/>
      <c r="K3" s="2396"/>
      <c r="M3" s="2395"/>
      <c r="N3" s="2395"/>
      <c r="O3" s="2395"/>
    </row>
    <row r="4" spans="1:15">
      <c r="A4" s="1824">
        <v>1</v>
      </c>
      <c r="B4" s="1599" t="s">
        <v>1294</v>
      </c>
      <c r="C4" s="1810">
        <v>451</v>
      </c>
      <c r="D4" s="1810">
        <v>840</v>
      </c>
      <c r="E4" s="1810">
        <v>804</v>
      </c>
      <c r="F4" s="1810">
        <v>745</v>
      </c>
      <c r="G4" s="1802">
        <f>SUM(C4:F4)</f>
        <v>2840</v>
      </c>
      <c r="I4" s="2396"/>
      <c r="J4" s="2396"/>
      <c r="K4" s="2396"/>
      <c r="M4" s="2395"/>
      <c r="N4" s="2395"/>
      <c r="O4" s="2395"/>
    </row>
    <row r="5" spans="1:15">
      <c r="A5" s="1824">
        <v>2</v>
      </c>
      <c r="B5" s="1599" t="s">
        <v>1296</v>
      </c>
      <c r="C5" s="1810">
        <v>3265</v>
      </c>
      <c r="D5" s="1810">
        <v>3732</v>
      </c>
      <c r="E5" s="1810">
        <v>4181</v>
      </c>
      <c r="F5" s="1810">
        <v>3306</v>
      </c>
      <c r="G5" s="1802">
        <f>SUM(C5:F5)</f>
        <v>14484</v>
      </c>
      <c r="I5" s="2396"/>
      <c r="J5" s="2396"/>
      <c r="K5" s="2396"/>
      <c r="M5" s="2395"/>
      <c r="N5" s="2395"/>
      <c r="O5" s="2395"/>
    </row>
    <row r="6" spans="1:15">
      <c r="A6" s="1824">
        <v>3</v>
      </c>
      <c r="B6" s="1599" t="s">
        <v>1298</v>
      </c>
      <c r="C6" s="1810">
        <v>591</v>
      </c>
      <c r="D6" s="1810">
        <v>661</v>
      </c>
      <c r="E6" s="1810">
        <v>584</v>
      </c>
      <c r="F6" s="1810">
        <v>560</v>
      </c>
      <c r="G6" s="1802">
        <f>SUM(C6:F6)</f>
        <v>2396</v>
      </c>
      <c r="I6" s="2396"/>
      <c r="J6" s="2396"/>
      <c r="K6" s="2396"/>
      <c r="M6" s="2395"/>
      <c r="N6" s="2395"/>
      <c r="O6" s="2395"/>
    </row>
    <row r="7" spans="1:15">
      <c r="A7" s="1824">
        <v>4</v>
      </c>
      <c r="B7" s="1599" t="s">
        <v>1300</v>
      </c>
      <c r="C7" s="1810">
        <v>476</v>
      </c>
      <c r="D7" s="1810">
        <v>328</v>
      </c>
      <c r="E7" s="1810">
        <v>528</v>
      </c>
      <c r="F7" s="1810">
        <v>515</v>
      </c>
      <c r="G7" s="1802">
        <f>SUM(C7:F7)</f>
        <v>1847</v>
      </c>
      <c r="I7" s="2396"/>
      <c r="J7" s="2396"/>
      <c r="K7" s="2396"/>
      <c r="M7" s="2395"/>
      <c r="N7" s="2395"/>
      <c r="O7" s="2395"/>
    </row>
    <row r="8" spans="1:15">
      <c r="A8" s="1825"/>
      <c r="B8" s="50"/>
      <c r="C8" s="50"/>
      <c r="D8" s="50"/>
      <c r="E8" s="50"/>
      <c r="F8" s="50"/>
      <c r="G8" s="1817"/>
      <c r="I8" s="1818"/>
      <c r="J8" s="1818"/>
      <c r="K8" s="1818"/>
    </row>
    <row r="9" spans="1:15">
      <c r="A9" s="1825"/>
      <c r="B9" s="50"/>
      <c r="C9" s="50"/>
      <c r="D9" s="50"/>
      <c r="E9" s="50"/>
      <c r="F9" s="50"/>
      <c r="G9" s="1817"/>
      <c r="I9" s="1818"/>
      <c r="J9" s="1818"/>
      <c r="K9" s="1818"/>
    </row>
    <row r="10" spans="1:15">
      <c r="A10" s="1825"/>
      <c r="B10" s="50"/>
      <c r="C10" s="50"/>
      <c r="D10" s="50"/>
      <c r="E10" s="50"/>
      <c r="F10" s="50"/>
      <c r="G10" s="1817"/>
      <c r="I10" s="1818"/>
      <c r="J10" s="1818"/>
      <c r="K10" s="1818"/>
    </row>
    <row r="11" spans="1:15">
      <c r="A11" s="1825"/>
      <c r="B11" s="50"/>
      <c r="C11" s="50"/>
      <c r="D11" s="50"/>
      <c r="E11" s="50"/>
      <c r="F11" s="50"/>
      <c r="G11" s="1817"/>
      <c r="I11" s="1818"/>
      <c r="J11" s="1818"/>
      <c r="K11" s="1818"/>
    </row>
    <row r="12" spans="1:15">
      <c r="A12" s="2401"/>
      <c r="B12" s="2401"/>
      <c r="I12" s="2394" t="s">
        <v>1322</v>
      </c>
      <c r="J12" s="2395"/>
      <c r="K12" s="2395"/>
    </row>
    <row r="13" spans="1:15">
      <c r="A13" s="1826" t="s">
        <v>1310</v>
      </c>
      <c r="B13" s="1806" t="s">
        <v>1270</v>
      </c>
      <c r="C13" s="234" t="s">
        <v>1289</v>
      </c>
      <c r="D13" s="234" t="s">
        <v>1290</v>
      </c>
      <c r="E13" s="234" t="s">
        <v>1291</v>
      </c>
      <c r="F13" s="234" t="s">
        <v>1292</v>
      </c>
      <c r="G13" s="234" t="s">
        <v>235</v>
      </c>
      <c r="I13" s="2395"/>
      <c r="J13" s="2395"/>
      <c r="K13" s="2395"/>
      <c r="M13" s="2395" t="s">
        <v>1323</v>
      </c>
      <c r="N13" s="2395"/>
      <c r="O13" s="2395"/>
    </row>
    <row r="14" spans="1:15">
      <c r="A14" s="1824">
        <v>1</v>
      </c>
      <c r="B14" s="1819" t="s">
        <v>1272</v>
      </c>
      <c r="C14" s="1820">
        <v>8</v>
      </c>
      <c r="D14" s="1820">
        <v>6</v>
      </c>
      <c r="E14" s="1820">
        <v>12</v>
      </c>
      <c r="F14" s="1820">
        <v>22</v>
      </c>
      <c r="G14" s="1821">
        <f t="shared" ref="G14:G21" si="0">SUM(C14:F14)</f>
        <v>48</v>
      </c>
      <c r="H14" s="2398">
        <f>+G14+G15+G16</f>
        <v>226</v>
      </c>
      <c r="I14" s="2395"/>
      <c r="J14" s="2395"/>
      <c r="K14" s="2395"/>
      <c r="M14" s="2395"/>
      <c r="N14" s="2395"/>
      <c r="O14" s="2395"/>
    </row>
    <row r="15" spans="1:15">
      <c r="A15" s="1824">
        <v>2</v>
      </c>
      <c r="B15" s="1819" t="s">
        <v>1273</v>
      </c>
      <c r="C15" s="1820">
        <v>37</v>
      </c>
      <c r="D15" s="1820">
        <v>36</v>
      </c>
      <c r="E15" s="1820">
        <v>40</v>
      </c>
      <c r="F15" s="1820">
        <v>48</v>
      </c>
      <c r="G15" s="1821">
        <f t="shared" si="0"/>
        <v>161</v>
      </c>
      <c r="H15" s="2398"/>
      <c r="I15" s="2395"/>
      <c r="J15" s="2395"/>
      <c r="K15" s="2395"/>
      <c r="M15" s="2395"/>
      <c r="N15" s="2395"/>
      <c r="O15" s="2395"/>
    </row>
    <row r="16" spans="1:15">
      <c r="A16" s="1824">
        <v>3</v>
      </c>
      <c r="B16" s="1822" t="s">
        <v>1274</v>
      </c>
      <c r="C16" s="1820">
        <v>9</v>
      </c>
      <c r="D16" s="1820">
        <v>4</v>
      </c>
      <c r="E16" s="1820">
        <v>3</v>
      </c>
      <c r="F16" s="1820">
        <v>1</v>
      </c>
      <c r="G16" s="1821">
        <f t="shared" si="0"/>
        <v>17</v>
      </c>
      <c r="H16" s="2398"/>
      <c r="I16" s="2395"/>
      <c r="J16" s="2395"/>
      <c r="K16" s="2395"/>
      <c r="M16" s="2395"/>
      <c r="N16" s="2395"/>
      <c r="O16" s="2395"/>
    </row>
    <row r="17" spans="1:15">
      <c r="A17" s="1824">
        <v>4</v>
      </c>
      <c r="B17" s="1808" t="s">
        <v>1275</v>
      </c>
      <c r="C17" s="1810">
        <v>9</v>
      </c>
      <c r="D17" s="1810">
        <v>22</v>
      </c>
      <c r="E17" s="1810">
        <v>24</v>
      </c>
      <c r="F17" s="1810">
        <v>10</v>
      </c>
      <c r="G17" s="1802">
        <f t="shared" si="0"/>
        <v>65</v>
      </c>
      <c r="I17" s="2395"/>
      <c r="J17" s="2395"/>
      <c r="K17" s="2395"/>
      <c r="M17" s="2395"/>
      <c r="N17" s="2395"/>
      <c r="O17" s="2395"/>
    </row>
    <row r="18" spans="1:15">
      <c r="A18" s="1824">
        <v>5</v>
      </c>
      <c r="B18" s="1599" t="s">
        <v>1276</v>
      </c>
      <c r="C18" s="1810">
        <v>53</v>
      </c>
      <c r="D18" s="1810">
        <v>160</v>
      </c>
      <c r="E18" s="1810">
        <v>129</v>
      </c>
      <c r="F18" s="1810">
        <v>58</v>
      </c>
      <c r="G18" s="1802">
        <f t="shared" si="0"/>
        <v>400</v>
      </c>
      <c r="I18" s="2395"/>
      <c r="J18" s="2395"/>
      <c r="K18" s="2395"/>
      <c r="M18" s="2395"/>
      <c r="N18" s="2395"/>
      <c r="O18" s="2395"/>
    </row>
    <row r="19" spans="1:15">
      <c r="A19" s="1824">
        <v>6</v>
      </c>
      <c r="B19" s="1599" t="s">
        <v>1277</v>
      </c>
      <c r="C19" s="1810">
        <v>36</v>
      </c>
      <c r="D19" s="1810">
        <v>86</v>
      </c>
      <c r="E19" s="1810">
        <v>46</v>
      </c>
      <c r="F19" s="1810">
        <v>31</v>
      </c>
      <c r="G19" s="1802">
        <f t="shared" si="0"/>
        <v>199</v>
      </c>
      <c r="M19" s="2395"/>
      <c r="N19" s="2395"/>
      <c r="O19" s="2395"/>
    </row>
    <row r="20" spans="1:15">
      <c r="A20" s="1824">
        <v>7</v>
      </c>
      <c r="B20" s="1808" t="s">
        <v>1278</v>
      </c>
      <c r="C20" s="1810">
        <v>250</v>
      </c>
      <c r="D20" s="1810">
        <v>435</v>
      </c>
      <c r="E20" s="1810">
        <v>483</v>
      </c>
      <c r="F20" s="1810">
        <v>467</v>
      </c>
      <c r="G20" s="1802">
        <f t="shared" si="0"/>
        <v>1635</v>
      </c>
    </row>
    <row r="21" spans="1:15">
      <c r="A21" s="1824">
        <v>8</v>
      </c>
      <c r="B21" s="1599" t="s">
        <v>809</v>
      </c>
      <c r="C21" s="1810">
        <v>402</v>
      </c>
      <c r="D21" s="1810">
        <v>749</v>
      </c>
      <c r="E21" s="1810">
        <v>737</v>
      </c>
      <c r="F21" s="1810">
        <v>637</v>
      </c>
      <c r="G21" s="1802">
        <f t="shared" si="0"/>
        <v>2525</v>
      </c>
    </row>
    <row r="22" spans="1:15">
      <c r="A22" s="2401"/>
      <c r="B22" s="2401"/>
    </row>
    <row r="23" spans="1:15">
      <c r="A23" s="1827"/>
      <c r="B23" s="1807"/>
    </row>
    <row r="24" spans="1:15">
      <c r="A24" s="1827"/>
      <c r="B24" s="1807"/>
    </row>
    <row r="25" spans="1:15">
      <c r="A25" s="1827"/>
      <c r="B25" s="1807"/>
    </row>
    <row r="26" spans="1:15">
      <c r="A26" s="1827"/>
      <c r="B26" s="1807"/>
    </row>
    <row r="27" spans="1:15">
      <c r="A27" s="1827"/>
      <c r="B27" s="1807"/>
    </row>
    <row r="28" spans="1:15">
      <c r="A28" s="1826" t="s">
        <v>1311</v>
      </c>
      <c r="B28" s="1806" t="s">
        <v>1312</v>
      </c>
      <c r="C28" s="234" t="s">
        <v>1289</v>
      </c>
      <c r="D28" s="234" t="s">
        <v>1290</v>
      </c>
      <c r="E28" s="234" t="s">
        <v>1291</v>
      </c>
      <c r="F28" s="234" t="s">
        <v>1292</v>
      </c>
      <c r="G28" s="234" t="s">
        <v>235</v>
      </c>
      <c r="I28" s="2395" t="s">
        <v>1324</v>
      </c>
      <c r="J28" s="2395"/>
      <c r="K28" s="2395"/>
    </row>
    <row r="29" spans="1:15">
      <c r="A29" s="1824">
        <v>1</v>
      </c>
      <c r="B29" s="1819" t="s">
        <v>1272</v>
      </c>
      <c r="C29" s="1820">
        <v>0</v>
      </c>
      <c r="D29" s="1820">
        <v>1</v>
      </c>
      <c r="E29" s="1820">
        <v>1</v>
      </c>
      <c r="F29" s="1820">
        <v>0</v>
      </c>
      <c r="G29" s="1821">
        <f t="shared" ref="G29:G37" si="1">SUM(C29:F29)</f>
        <v>2</v>
      </c>
      <c r="H29" s="2398">
        <f>+G29+G30+G31+G31+G32</f>
        <v>82</v>
      </c>
      <c r="I29" s="2395"/>
      <c r="J29" s="2395"/>
      <c r="K29" s="2395"/>
    </row>
    <row r="30" spans="1:15">
      <c r="A30" s="1824">
        <v>2</v>
      </c>
      <c r="B30" s="1819" t="s">
        <v>1273</v>
      </c>
      <c r="C30" s="1820">
        <v>10</v>
      </c>
      <c r="D30" s="1820">
        <v>12</v>
      </c>
      <c r="E30" s="1820">
        <v>6</v>
      </c>
      <c r="F30" s="1820">
        <v>4</v>
      </c>
      <c r="G30" s="1821">
        <f t="shared" si="1"/>
        <v>32</v>
      </c>
      <c r="H30" s="2398"/>
      <c r="I30" s="2395"/>
      <c r="J30" s="2395"/>
      <c r="K30" s="2395"/>
    </row>
    <row r="31" spans="1:15">
      <c r="A31" s="1824">
        <v>3</v>
      </c>
      <c r="B31" s="1822" t="s">
        <v>1281</v>
      </c>
      <c r="C31" s="1820">
        <v>7</v>
      </c>
      <c r="D31" s="1820">
        <v>6</v>
      </c>
      <c r="E31" s="1820">
        <v>4</v>
      </c>
      <c r="F31" s="1820">
        <v>3</v>
      </c>
      <c r="G31" s="1821">
        <f t="shared" si="1"/>
        <v>20</v>
      </c>
      <c r="H31" s="2398"/>
      <c r="I31" s="2395"/>
      <c r="J31" s="2395"/>
      <c r="K31" s="2395"/>
    </row>
    <row r="32" spans="1:15">
      <c r="A32" s="1824">
        <v>4</v>
      </c>
      <c r="B32" s="1822" t="s">
        <v>1282</v>
      </c>
      <c r="C32" s="1820">
        <v>1</v>
      </c>
      <c r="D32" s="1820">
        <v>5</v>
      </c>
      <c r="E32" s="1820">
        <v>0</v>
      </c>
      <c r="F32" s="1820">
        <v>2</v>
      </c>
      <c r="G32" s="1821">
        <f t="shared" si="1"/>
        <v>8</v>
      </c>
      <c r="H32" s="2398"/>
      <c r="I32" s="2395"/>
      <c r="J32" s="2395"/>
      <c r="K32" s="2395"/>
    </row>
    <row r="33" spans="1:11">
      <c r="A33" s="1824">
        <v>5</v>
      </c>
      <c r="B33" s="1808" t="s">
        <v>1275</v>
      </c>
      <c r="C33" s="1810">
        <v>1</v>
      </c>
      <c r="D33" s="1810">
        <v>4</v>
      </c>
      <c r="E33" s="1810">
        <v>0</v>
      </c>
      <c r="F33" s="1810">
        <v>2</v>
      </c>
      <c r="G33" s="1802">
        <f t="shared" si="1"/>
        <v>7</v>
      </c>
      <c r="I33" s="2395"/>
      <c r="J33" s="2395"/>
      <c r="K33" s="2395"/>
    </row>
    <row r="34" spans="1:11">
      <c r="A34" s="1824">
        <v>6</v>
      </c>
      <c r="B34" s="1808" t="s">
        <v>1278</v>
      </c>
      <c r="C34" s="1810">
        <v>8</v>
      </c>
      <c r="D34" s="1810">
        <v>1</v>
      </c>
      <c r="E34" s="1810">
        <v>3</v>
      </c>
      <c r="F34" s="1810">
        <v>4</v>
      </c>
      <c r="G34" s="1802">
        <f t="shared" si="1"/>
        <v>16</v>
      </c>
      <c r="I34" s="2395"/>
      <c r="J34" s="2395"/>
      <c r="K34" s="2395"/>
    </row>
    <row r="35" spans="1:11">
      <c r="A35" s="1824">
        <v>7</v>
      </c>
      <c r="B35" s="1599" t="s">
        <v>1277</v>
      </c>
      <c r="C35" s="1810">
        <v>1</v>
      </c>
      <c r="D35" s="1810">
        <v>8</v>
      </c>
      <c r="E35" s="1810">
        <v>4</v>
      </c>
      <c r="F35" s="1810">
        <v>15</v>
      </c>
      <c r="G35" s="1802">
        <f t="shared" si="1"/>
        <v>28</v>
      </c>
    </row>
    <row r="36" spans="1:11">
      <c r="A36" s="1824">
        <v>8</v>
      </c>
      <c r="B36" s="1599" t="s">
        <v>1283</v>
      </c>
      <c r="C36" s="1810">
        <v>18</v>
      </c>
      <c r="D36" s="1810">
        <v>54</v>
      </c>
      <c r="E36" s="1810">
        <v>49</v>
      </c>
      <c r="F36" s="1810">
        <v>76</v>
      </c>
      <c r="G36" s="1802">
        <f t="shared" si="1"/>
        <v>197</v>
      </c>
    </row>
    <row r="37" spans="1:11">
      <c r="A37" s="1824">
        <v>9</v>
      </c>
      <c r="B37" s="1599" t="s">
        <v>809</v>
      </c>
      <c r="C37" s="1802">
        <f>SUM(C29:C36)</f>
        <v>46</v>
      </c>
      <c r="D37" s="1802">
        <f>SUM(D29:D36)</f>
        <v>91</v>
      </c>
      <c r="E37" s="1802">
        <f>SUM(E29:E36)</f>
        <v>67</v>
      </c>
      <c r="F37" s="1802">
        <f>SUM(F29:F36)</f>
        <v>106</v>
      </c>
      <c r="G37" s="1802">
        <f t="shared" si="1"/>
        <v>310</v>
      </c>
    </row>
    <row r="38" spans="1:11">
      <c r="A38" s="2402"/>
      <c r="B38" s="2402"/>
    </row>
    <row r="40" spans="1:11">
      <c r="G40"/>
    </row>
    <row r="41" spans="1:11">
      <c r="G41"/>
    </row>
    <row r="42" spans="1:11">
      <c r="G42"/>
    </row>
    <row r="43" spans="1:11">
      <c r="G43"/>
    </row>
    <row r="44" spans="1:11">
      <c r="G44"/>
    </row>
    <row r="45" spans="1:11">
      <c r="G45"/>
    </row>
    <row r="46" spans="1:11">
      <c r="G46"/>
    </row>
    <row r="47" spans="1:11">
      <c r="G47"/>
    </row>
    <row r="48" spans="1:11">
      <c r="G48"/>
    </row>
  </sheetData>
  <mergeCells count="11">
    <mergeCell ref="A22:B22"/>
    <mergeCell ref="A38:B38"/>
    <mergeCell ref="I12:K18"/>
    <mergeCell ref="I1:K7"/>
    <mergeCell ref="M1:O7"/>
    <mergeCell ref="I28:K34"/>
    <mergeCell ref="H14:H16"/>
    <mergeCell ref="H29:H32"/>
    <mergeCell ref="M13:O19"/>
    <mergeCell ref="A2:B3"/>
    <mergeCell ref="A12:B12"/>
  </mergeCells>
  <pageMargins left="0.70866141732283472" right="0.70866141732283472" top="0.74803149606299213" bottom="0.74803149606299213" header="0.31496062992125984" footer="0.31496062992125984"/>
  <pageSetup scale="64"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C1:C5"/>
  <sheetViews>
    <sheetView workbookViewId="0">
      <selection activeCell="C1" sqref="C1:C5"/>
    </sheetView>
  </sheetViews>
  <sheetFormatPr defaultColWidth="11.42578125" defaultRowHeight="15"/>
  <sheetData>
    <row r="1" spans="3:3">
      <c r="C1" t="s">
        <v>1325</v>
      </c>
    </row>
    <row r="2" spans="3:3">
      <c r="C2" t="s">
        <v>1326</v>
      </c>
    </row>
    <row r="3" spans="3:3">
      <c r="C3" t="s">
        <v>1327</v>
      </c>
    </row>
    <row r="4" spans="3:3">
      <c r="C4" t="s">
        <v>1328</v>
      </c>
    </row>
    <row r="5" spans="3:3">
      <c r="C5" t="s">
        <v>1329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pageSetUpPr fitToPage="1"/>
  </sheetPr>
  <dimension ref="A1:J37"/>
  <sheetViews>
    <sheetView view="pageBreakPreview" topLeftCell="B1" zoomScale="115" zoomScaleNormal="115" zoomScaleSheetLayoutView="115" workbookViewId="0">
      <selection activeCell="J20" sqref="J20:J28"/>
    </sheetView>
  </sheetViews>
  <sheetFormatPr defaultColWidth="9.140625" defaultRowHeight="15"/>
  <cols>
    <col min="1" max="1" width="6.5703125" style="270" hidden="1" customWidth="1"/>
    <col min="2" max="2" width="19.5703125" style="280" customWidth="1"/>
    <col min="3" max="3" width="25.28515625" style="274" customWidth="1"/>
    <col min="4" max="5" width="29.7109375" style="274" customWidth="1"/>
    <col min="6" max="6" width="24.7109375" style="275" customWidth="1"/>
    <col min="7" max="7" width="17.140625" style="270" customWidth="1"/>
    <col min="8" max="8" width="9.140625" style="270"/>
    <col min="9" max="9" width="11.140625" style="271" bestFit="1" customWidth="1"/>
    <col min="10" max="10" width="98.42578125" style="270" customWidth="1"/>
    <col min="11" max="16384" width="9.140625" style="270"/>
  </cols>
  <sheetData>
    <row r="1" spans="1:10" ht="18">
      <c r="B1" s="2039" t="s">
        <v>291</v>
      </c>
      <c r="C1" s="2039"/>
      <c r="D1" s="2039"/>
      <c r="E1" s="2039"/>
      <c r="F1" s="2039"/>
      <c r="G1" s="2039"/>
      <c r="H1" s="2039"/>
    </row>
    <row r="2" spans="1:10" ht="18">
      <c r="B2" s="2041" t="s">
        <v>358</v>
      </c>
      <c r="C2" s="2041"/>
      <c r="D2" s="2041"/>
      <c r="E2" s="2041"/>
      <c r="F2" s="2041"/>
      <c r="G2" s="2041"/>
      <c r="H2" s="2041"/>
    </row>
    <row r="3" spans="1:10" s="272" customFormat="1" ht="18.75">
      <c r="A3" s="2041" t="s">
        <v>292</v>
      </c>
      <c r="B3" s="2041"/>
      <c r="C3" s="2041"/>
      <c r="D3" s="2041"/>
      <c r="E3" s="2041"/>
      <c r="F3" s="2041"/>
      <c r="G3" s="2041"/>
      <c r="H3" s="1700"/>
      <c r="I3" s="273"/>
    </row>
    <row r="4" spans="1:10" s="272" customFormat="1" ht="21" customHeight="1">
      <c r="A4" s="2036"/>
      <c r="B4" s="2036"/>
      <c r="C4" s="2036"/>
      <c r="D4" s="2036"/>
      <c r="E4" s="2036"/>
      <c r="F4" s="2036"/>
      <c r="G4" s="2036"/>
      <c r="H4" s="2036"/>
      <c r="I4" s="273"/>
    </row>
    <row r="5" spans="1:10">
      <c r="B5" s="274"/>
      <c r="C5" s="270"/>
    </row>
    <row r="6" spans="1:10" ht="16.5">
      <c r="B6" s="274"/>
      <c r="C6" s="270"/>
      <c r="J6" s="268"/>
    </row>
    <row r="7" spans="1:10" s="278" customFormat="1">
      <c r="A7" s="276"/>
      <c r="B7" s="276" t="s">
        <v>196</v>
      </c>
      <c r="C7" s="276" t="s">
        <v>197</v>
      </c>
      <c r="D7" s="276" t="s">
        <v>198</v>
      </c>
      <c r="E7" s="276" t="s">
        <v>359</v>
      </c>
      <c r="F7" s="277" t="s">
        <v>200</v>
      </c>
      <c r="G7" s="277" t="s">
        <v>301</v>
      </c>
      <c r="H7" s="277" t="s">
        <v>266</v>
      </c>
      <c r="I7" s="279"/>
      <c r="J7"/>
    </row>
    <row r="8" spans="1:10">
      <c r="C8" s="281"/>
      <c r="D8" s="281"/>
      <c r="E8" s="281"/>
      <c r="F8" s="282"/>
      <c r="G8" s="280"/>
      <c r="H8" s="280"/>
      <c r="J8" s="888"/>
    </row>
    <row r="9" spans="1:10" ht="18" customHeight="1">
      <c r="C9" s="281"/>
      <c r="D9" s="281"/>
      <c r="E9" s="281"/>
      <c r="F9" s="282"/>
      <c r="G9" s="282"/>
      <c r="H9" s="283"/>
      <c r="J9" s="888"/>
    </row>
    <row r="10" spans="1:10">
      <c r="C10" s="281"/>
      <c r="D10" s="281"/>
      <c r="E10" s="281"/>
      <c r="F10" s="282"/>
      <c r="G10" s="282"/>
      <c r="H10" s="283"/>
    </row>
    <row r="11" spans="1:10">
      <c r="C11" s="281"/>
      <c r="D11" s="281"/>
      <c r="E11" s="281"/>
      <c r="F11" s="282"/>
      <c r="G11" s="282"/>
      <c r="H11" s="283"/>
    </row>
    <row r="12" spans="1:10">
      <c r="C12" s="281"/>
      <c r="D12" s="281"/>
      <c r="E12" s="281"/>
      <c r="F12" s="282"/>
      <c r="G12" s="282"/>
      <c r="H12" s="283"/>
    </row>
    <row r="13" spans="1:10">
      <c r="C13" s="281"/>
      <c r="D13" s="281"/>
      <c r="E13" s="281"/>
      <c r="F13" s="282"/>
      <c r="G13" s="282"/>
      <c r="H13" s="283"/>
    </row>
    <row r="14" spans="1:10">
      <c r="C14" s="281"/>
      <c r="D14" s="281"/>
      <c r="E14" s="281"/>
      <c r="F14" s="282"/>
      <c r="G14" s="282"/>
      <c r="H14" s="283"/>
    </row>
    <row r="15" spans="1:10">
      <c r="C15" s="281"/>
      <c r="D15" s="281"/>
      <c r="E15" s="281"/>
      <c r="F15" s="282"/>
      <c r="G15" s="282"/>
      <c r="H15" s="283"/>
    </row>
    <row r="16" spans="1:10">
      <c r="C16" s="281"/>
      <c r="D16" s="281"/>
      <c r="E16" s="281"/>
      <c r="F16" s="282"/>
      <c r="G16" s="282"/>
      <c r="H16" s="283"/>
    </row>
    <row r="17" spans="1:10">
      <c r="C17" s="281"/>
      <c r="D17" s="281"/>
      <c r="E17" s="281"/>
      <c r="F17" s="282"/>
      <c r="G17" s="282"/>
      <c r="H17" s="283"/>
    </row>
    <row r="18" spans="1:10" s="271" customFormat="1">
      <c r="A18" s="270"/>
      <c r="B18" s="280"/>
      <c r="C18" s="281"/>
      <c r="D18" s="281"/>
      <c r="E18" s="281"/>
      <c r="F18" s="282"/>
      <c r="G18" s="282"/>
      <c r="H18" s="283"/>
      <c r="J18" s="270"/>
    </row>
    <row r="19" spans="1:10" s="271" customFormat="1">
      <c r="A19" s="270"/>
      <c r="B19" s="280"/>
      <c r="C19" s="281"/>
      <c r="D19" s="281"/>
      <c r="E19" s="281"/>
      <c r="F19" s="282"/>
      <c r="G19" s="282"/>
      <c r="H19" s="283"/>
      <c r="J19" s="270"/>
    </row>
    <row r="20" spans="1:10" s="271" customFormat="1">
      <c r="A20" s="270"/>
      <c r="B20" s="280"/>
      <c r="C20" s="281"/>
      <c r="D20" s="281"/>
      <c r="E20" s="281"/>
      <c r="F20" s="282"/>
      <c r="G20" s="282"/>
      <c r="H20" s="283"/>
      <c r="J20" s="270"/>
    </row>
    <row r="21" spans="1:10" s="271" customFormat="1">
      <c r="A21" s="270"/>
      <c r="B21" s="1174"/>
      <c r="C21" s="1174"/>
      <c r="D21" s="1175"/>
      <c r="E21" s="281"/>
      <c r="F21" s="282"/>
      <c r="G21" s="282"/>
      <c r="H21" s="283"/>
      <c r="J21" s="270"/>
    </row>
    <row r="24" spans="1:10" ht="18">
      <c r="B24" s="2039" t="s">
        <v>343</v>
      </c>
      <c r="C24" s="2039"/>
      <c r="D24" s="2039"/>
      <c r="E24" s="2039"/>
      <c r="F24" s="2039"/>
      <c r="G24" s="2039"/>
      <c r="H24" s="2039"/>
    </row>
    <row r="25" spans="1:10" ht="18">
      <c r="B25" s="2040" t="s">
        <v>351</v>
      </c>
      <c r="C25" s="2040"/>
      <c r="D25" s="2040"/>
      <c r="E25" s="2040"/>
      <c r="F25" s="2040"/>
      <c r="G25" s="2040"/>
      <c r="H25" s="2040"/>
    </row>
    <row r="26" spans="1:10" ht="18.75">
      <c r="B26" s="285" t="s">
        <v>352</v>
      </c>
      <c r="C26" s="291"/>
      <c r="D26" s="292"/>
      <c r="E26" s="293"/>
      <c r="F26" s="290"/>
    </row>
    <row r="27" spans="1:10" ht="18.75">
      <c r="B27" s="285" t="s">
        <v>345</v>
      </c>
      <c r="C27" s="291"/>
      <c r="D27" s="292"/>
      <c r="E27" s="293"/>
      <c r="F27" s="290"/>
    </row>
    <row r="28" spans="1:10">
      <c r="B28" s="294"/>
      <c r="C28" s="295" t="s">
        <v>196</v>
      </c>
      <c r="D28" s="296" t="s">
        <v>197</v>
      </c>
      <c r="E28" s="296" t="s">
        <v>198</v>
      </c>
      <c r="F28" s="296"/>
      <c r="G28" s="297" t="s">
        <v>200</v>
      </c>
    </row>
    <row r="29" spans="1:10">
      <c r="B29" s="292"/>
      <c r="C29" s="298"/>
      <c r="D29" s="729"/>
      <c r="E29" s="729"/>
      <c r="F29" s="299"/>
      <c r="G29" s="300"/>
      <c r="I29" s="270"/>
      <c r="J29" s="271"/>
    </row>
    <row r="30" spans="1:10">
      <c r="B30" s="292"/>
      <c r="C30" s="298"/>
      <c r="D30" s="299"/>
      <c r="E30" s="299"/>
      <c r="F30" s="299"/>
      <c r="G30" s="300"/>
      <c r="I30" s="270"/>
      <c r="J30" s="271"/>
    </row>
    <row r="31" spans="1:10">
      <c r="B31" s="292"/>
      <c r="C31" s="298"/>
      <c r="D31" s="299"/>
      <c r="E31" s="299"/>
      <c r="F31" s="299"/>
      <c r="G31" s="300"/>
      <c r="I31" s="270"/>
      <c r="J31" s="271"/>
    </row>
    <row r="32" spans="1:10">
      <c r="B32" s="292"/>
      <c r="C32" s="298"/>
      <c r="D32" s="299"/>
      <c r="E32" s="299"/>
      <c r="F32" s="299"/>
      <c r="G32" s="300"/>
      <c r="I32" s="270"/>
      <c r="J32" s="271"/>
    </row>
    <row r="33" spans="2:10">
      <c r="B33" s="301" t="s">
        <v>354</v>
      </c>
      <c r="C33" s="298"/>
      <c r="D33" s="299"/>
      <c r="E33" s="299"/>
      <c r="F33" s="299"/>
      <c r="G33" s="300"/>
      <c r="I33" s="270"/>
      <c r="J33" s="271"/>
    </row>
    <row r="34" spans="2:10">
      <c r="B34" s="292"/>
      <c r="C34" s="298"/>
      <c r="D34" s="299"/>
      <c r="E34" s="299"/>
      <c r="F34" s="299"/>
      <c r="G34" s="300"/>
      <c r="I34" s="270"/>
      <c r="J34" s="271"/>
    </row>
    <row r="35" spans="2:10">
      <c r="B35" s="292"/>
      <c r="C35" s="302"/>
      <c r="D35" s="1176"/>
      <c r="E35" s="1176"/>
      <c r="F35" s="1176"/>
      <c r="G35" s="303"/>
      <c r="I35" s="270"/>
      <c r="J35" s="271"/>
    </row>
    <row r="36" spans="2:10" ht="15.75">
      <c r="B36" s="285"/>
      <c r="C36" s="302"/>
      <c r="D36" s="291"/>
      <c r="E36" s="291"/>
      <c r="F36" s="291"/>
      <c r="G36" s="303"/>
      <c r="I36" s="270"/>
      <c r="J36" s="271"/>
    </row>
    <row r="37" spans="2:10" ht="18.75">
      <c r="B37" s="285"/>
      <c r="C37" s="291"/>
      <c r="D37" s="292"/>
      <c r="E37" s="293"/>
      <c r="F37" s="293"/>
      <c r="G37" s="290"/>
      <c r="I37" s="270"/>
      <c r="J37" s="271"/>
    </row>
  </sheetData>
  <mergeCells count="6">
    <mergeCell ref="B24:H24"/>
    <mergeCell ref="B25:H25"/>
    <mergeCell ref="A3:G3"/>
    <mergeCell ref="B2:H2"/>
    <mergeCell ref="B1:H1"/>
    <mergeCell ref="A4:H4"/>
  </mergeCells>
  <pageMargins left="0.70866141732283472" right="0.70866141732283472" top="0.74803149606299213" bottom="0.74803149606299213" header="0.31496062992125984" footer="0.31496062992125984"/>
  <pageSetup paperSize="119" scale="80" orientation="landscape" r:id="rId1"/>
  <drawing r:id="rId2"/>
  <tableParts count="1">
    <tablePart r:id="rId3"/>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defaultColWidth="11.42578125" defaultRowHeight="14.25"/>
  <cols>
    <col min="1" max="1" width="18.42578125" style="307" customWidth="1"/>
    <col min="2" max="2" width="42.5703125" style="307" customWidth="1"/>
    <col min="3" max="3" width="30.140625" style="307" customWidth="1"/>
    <col min="4" max="4" width="42.5703125" style="307" customWidth="1"/>
    <col min="5" max="5" width="9.85546875" style="307" customWidth="1"/>
    <col min="6" max="6" width="18.7109375" style="307" customWidth="1"/>
    <col min="7" max="9" width="42.5703125" style="307" customWidth="1"/>
    <col min="10" max="10" width="55.85546875" style="307" customWidth="1"/>
    <col min="11" max="11" width="64.7109375" style="307" customWidth="1"/>
    <col min="12" max="12" width="26.140625" style="307" customWidth="1"/>
    <col min="13" max="16384" width="11.42578125" style="307"/>
  </cols>
  <sheetData>
    <row r="1" spans="1:12" ht="90.75" customHeight="1">
      <c r="A1" s="2042"/>
      <c r="B1" s="2042"/>
      <c r="C1" s="2042"/>
      <c r="D1" s="2042"/>
      <c r="E1" s="2042"/>
      <c r="F1" s="2042"/>
      <c r="G1" s="2042"/>
      <c r="H1" s="2042"/>
      <c r="I1" s="2042"/>
      <c r="J1" s="2042"/>
      <c r="K1" s="2042"/>
      <c r="L1" s="2042"/>
    </row>
    <row r="2" spans="1:12" ht="52.5" customHeight="1">
      <c r="B2" s="469"/>
      <c r="C2" s="469"/>
      <c r="D2" s="469"/>
      <c r="E2" s="469"/>
      <c r="F2" s="469"/>
      <c r="G2" s="469"/>
      <c r="H2" s="469"/>
      <c r="I2" s="469"/>
      <c r="J2" s="469"/>
      <c r="K2" s="469"/>
      <c r="L2" s="469"/>
    </row>
    <row r="3" spans="1:12" ht="30.75" customHeight="1">
      <c r="A3" s="2043" t="s">
        <v>360</v>
      </c>
      <c r="B3" s="2043"/>
      <c r="C3" s="2043"/>
      <c r="D3" s="2043"/>
      <c r="E3" s="2043"/>
      <c r="F3" s="2043"/>
      <c r="G3" s="2043"/>
      <c r="H3" s="2043"/>
      <c r="I3" s="2043"/>
      <c r="J3" s="2043"/>
      <c r="K3" s="2043"/>
      <c r="L3" s="2043"/>
    </row>
    <row r="4" spans="1:12" ht="23.25" customHeight="1">
      <c r="A4" s="2043"/>
      <c r="B4" s="2043"/>
      <c r="C4" s="2043"/>
      <c r="D4" s="2043"/>
      <c r="E4" s="2043"/>
      <c r="F4" s="2043"/>
      <c r="G4" s="2043"/>
      <c r="H4" s="2043"/>
      <c r="I4" s="2043"/>
      <c r="J4" s="2043"/>
      <c r="K4" s="2043"/>
      <c r="L4" s="2043"/>
    </row>
    <row r="5" spans="1:12" s="470" customFormat="1" ht="25.5" customHeight="1">
      <c r="A5" s="2043"/>
      <c r="B5" s="2043"/>
      <c r="C5" s="2043"/>
      <c r="D5" s="2043"/>
      <c r="E5" s="2043"/>
      <c r="F5" s="2043"/>
      <c r="G5" s="2043"/>
      <c r="H5" s="2043"/>
      <c r="I5" s="2043"/>
      <c r="J5" s="2043"/>
      <c r="K5" s="2043"/>
      <c r="L5" s="2043"/>
    </row>
    <row r="6" spans="1:12" ht="25.5" customHeight="1">
      <c r="A6" s="2043"/>
      <c r="B6" s="2043"/>
      <c r="C6" s="2043"/>
      <c r="D6" s="2043"/>
      <c r="E6" s="2043"/>
      <c r="F6" s="2043"/>
      <c r="G6" s="2043"/>
      <c r="H6" s="2043"/>
      <c r="I6" s="2043"/>
      <c r="J6" s="2043"/>
      <c r="K6" s="2043"/>
      <c r="L6" s="2043"/>
    </row>
    <row r="7" spans="1:12" ht="25.5" customHeight="1">
      <c r="A7" s="2043"/>
      <c r="B7" s="2043"/>
      <c r="C7" s="2043"/>
      <c r="D7" s="2043"/>
      <c r="E7" s="2043"/>
      <c r="F7" s="2043"/>
      <c r="G7" s="2043"/>
      <c r="H7" s="2043"/>
      <c r="I7" s="2043"/>
      <c r="J7" s="2043"/>
      <c r="K7" s="2043"/>
      <c r="L7" s="2043"/>
    </row>
    <row r="8" spans="1:12" ht="25.5" customHeight="1">
      <c r="A8" s="2043"/>
      <c r="B8" s="2043"/>
      <c r="C8" s="2043"/>
      <c r="D8" s="2043"/>
      <c r="E8" s="2043"/>
      <c r="F8" s="2043"/>
      <c r="G8" s="2043"/>
      <c r="H8" s="2043"/>
      <c r="I8" s="2043"/>
      <c r="J8" s="2043"/>
      <c r="K8" s="2043"/>
      <c r="L8" s="2043"/>
    </row>
    <row r="9" spans="1:12" ht="25.5" customHeight="1">
      <c r="A9" s="2043"/>
      <c r="B9" s="2043"/>
      <c r="C9" s="2043"/>
      <c r="D9" s="2043"/>
      <c r="E9" s="2043"/>
      <c r="F9" s="2043"/>
      <c r="G9" s="2043"/>
      <c r="H9" s="2043"/>
      <c r="I9" s="2043"/>
      <c r="J9" s="2043"/>
      <c r="K9" s="2043"/>
      <c r="L9" s="2043"/>
    </row>
    <row r="10" spans="1:12" ht="25.5" customHeight="1">
      <c r="A10" s="2043"/>
      <c r="B10" s="2043"/>
      <c r="C10" s="2043"/>
      <c r="D10" s="2043"/>
      <c r="E10" s="2043"/>
      <c r="F10" s="2043"/>
      <c r="G10" s="2043"/>
      <c r="H10" s="2043"/>
      <c r="I10" s="2043"/>
      <c r="J10" s="2043"/>
      <c r="K10" s="2043"/>
      <c r="L10" s="2043"/>
    </row>
    <row r="11" spans="1:12" ht="25.5" customHeight="1">
      <c r="A11" s="2043"/>
      <c r="B11" s="2043"/>
      <c r="C11" s="2043"/>
      <c r="D11" s="2043"/>
      <c r="E11" s="2043"/>
      <c r="F11" s="2043"/>
      <c r="G11" s="2043"/>
      <c r="H11" s="2043"/>
      <c r="I11" s="2043"/>
      <c r="J11" s="2043"/>
      <c r="K11" s="2043"/>
      <c r="L11" s="2043"/>
    </row>
    <row r="12" spans="1:12" ht="23.25" customHeight="1">
      <c r="A12" s="2043"/>
      <c r="B12" s="2043"/>
      <c r="C12" s="2043"/>
      <c r="D12" s="2043"/>
      <c r="E12" s="2043"/>
      <c r="F12" s="2043"/>
      <c r="G12" s="2043"/>
      <c r="H12" s="2043"/>
      <c r="I12" s="2043"/>
      <c r="J12" s="2043"/>
      <c r="K12" s="2043"/>
      <c r="L12" s="2043"/>
    </row>
    <row r="13" spans="1:12" ht="25.5" customHeight="1">
      <c r="A13" s="2043"/>
      <c r="B13" s="2043"/>
      <c r="C13" s="2043"/>
      <c r="D13" s="2043"/>
      <c r="E13" s="2043"/>
      <c r="F13" s="2043"/>
      <c r="G13" s="2043"/>
      <c r="H13" s="2043"/>
      <c r="I13" s="2043"/>
      <c r="J13" s="2043"/>
      <c r="K13" s="2043"/>
      <c r="L13" s="2043"/>
    </row>
    <row r="14" spans="1:12" ht="25.5" customHeight="1">
      <c r="A14" s="2043"/>
      <c r="B14" s="2043"/>
      <c r="C14" s="2043"/>
      <c r="D14" s="2043"/>
      <c r="E14" s="2043"/>
      <c r="F14" s="2043"/>
      <c r="G14" s="2043"/>
      <c r="H14" s="2043"/>
      <c r="I14" s="2043"/>
      <c r="J14" s="2043"/>
      <c r="K14" s="2043"/>
      <c r="L14" s="2043"/>
    </row>
    <row r="15" spans="1:12" ht="25.5" customHeight="1">
      <c r="A15" s="2043"/>
      <c r="B15" s="2043"/>
      <c r="C15" s="2043"/>
      <c r="D15" s="2043"/>
      <c r="E15" s="2043"/>
      <c r="F15" s="2043"/>
      <c r="G15" s="2043"/>
      <c r="H15" s="2043"/>
      <c r="I15" s="2043"/>
      <c r="J15" s="2043"/>
      <c r="K15" s="2043"/>
      <c r="L15" s="2043"/>
    </row>
    <row r="16" spans="1:12" ht="25.5" customHeight="1">
      <c r="A16" s="2043"/>
      <c r="B16" s="2043"/>
      <c r="C16" s="2043"/>
      <c r="D16" s="2043"/>
      <c r="E16" s="2043"/>
      <c r="F16" s="2043"/>
      <c r="G16" s="2043"/>
      <c r="H16" s="2043"/>
      <c r="I16" s="2043"/>
      <c r="J16" s="2043"/>
      <c r="K16" s="2043"/>
      <c r="L16" s="2043"/>
    </row>
    <row r="17" spans="1:12" ht="25.5" customHeight="1">
      <c r="A17" s="2043"/>
      <c r="B17" s="2043"/>
      <c r="C17" s="2043"/>
      <c r="D17" s="2043"/>
      <c r="E17" s="2043"/>
      <c r="F17" s="2043"/>
      <c r="G17" s="2043"/>
      <c r="H17" s="2043"/>
      <c r="I17" s="2043"/>
      <c r="J17" s="2043"/>
      <c r="K17" s="2043"/>
      <c r="L17" s="2043"/>
    </row>
    <row r="18" spans="1:12" ht="25.5" customHeight="1">
      <c r="A18" s="2043"/>
      <c r="B18" s="2043"/>
      <c r="C18" s="2043"/>
      <c r="D18" s="2043"/>
      <c r="E18" s="2043"/>
      <c r="F18" s="2043"/>
      <c r="G18" s="2043"/>
      <c r="H18" s="2043"/>
      <c r="I18" s="2043"/>
      <c r="J18" s="2043"/>
      <c r="K18" s="2043"/>
      <c r="L18" s="2043"/>
    </row>
    <row r="19" spans="1:12" ht="25.5" customHeight="1">
      <c r="A19" s="2043"/>
      <c r="B19" s="2043"/>
      <c r="C19" s="2043"/>
      <c r="D19" s="2043"/>
      <c r="E19" s="2043"/>
      <c r="F19" s="2043"/>
      <c r="G19" s="2043"/>
      <c r="H19" s="2043"/>
      <c r="I19" s="2043"/>
      <c r="J19" s="2043"/>
      <c r="K19" s="2043"/>
      <c r="L19" s="2043"/>
    </row>
    <row r="20" spans="1:12" ht="25.5" customHeight="1">
      <c r="A20" s="2043"/>
      <c r="B20" s="2043"/>
      <c r="C20" s="2043"/>
      <c r="D20" s="2043"/>
      <c r="E20" s="2043"/>
      <c r="F20" s="2043"/>
      <c r="G20" s="2043"/>
      <c r="H20" s="2043"/>
      <c r="I20" s="2043"/>
      <c r="J20" s="2043"/>
      <c r="K20" s="2043"/>
      <c r="L20" s="2043"/>
    </row>
    <row r="21" spans="1:12" ht="25.5" customHeight="1">
      <c r="A21" s="2043"/>
      <c r="B21" s="2043"/>
      <c r="C21" s="2043"/>
      <c r="D21" s="2043"/>
      <c r="E21" s="2043"/>
      <c r="F21" s="2043"/>
      <c r="G21" s="2043"/>
      <c r="H21" s="2043"/>
      <c r="I21" s="2043"/>
      <c r="J21" s="2043"/>
      <c r="K21" s="2043"/>
      <c r="L21" s="2043"/>
    </row>
    <row r="22" spans="1:12" ht="25.5" customHeight="1">
      <c r="A22" s="2043"/>
      <c r="B22" s="2043"/>
      <c r="C22" s="2043"/>
      <c r="D22" s="2043"/>
      <c r="E22" s="2043"/>
      <c r="F22" s="2043"/>
      <c r="G22" s="2043"/>
      <c r="H22" s="2043"/>
      <c r="I22" s="2043"/>
      <c r="J22" s="2043"/>
      <c r="K22" s="2043"/>
      <c r="L22" s="2043"/>
    </row>
    <row r="23" spans="1:12" ht="25.5" customHeight="1">
      <c r="A23" s="2043"/>
      <c r="B23" s="2043"/>
      <c r="C23" s="2043"/>
      <c r="D23" s="2043"/>
      <c r="E23" s="2043"/>
      <c r="F23" s="2043"/>
      <c r="G23" s="2043"/>
      <c r="H23" s="2043"/>
      <c r="I23" s="2043"/>
      <c r="J23" s="2043"/>
      <c r="K23" s="2043"/>
      <c r="L23" s="2043"/>
    </row>
    <row r="24" spans="1:12" ht="25.5" customHeight="1">
      <c r="A24" s="2043"/>
      <c r="B24" s="2043"/>
      <c r="C24" s="2043"/>
      <c r="D24" s="2043"/>
      <c r="E24" s="2043"/>
      <c r="F24" s="2043"/>
      <c r="G24" s="2043"/>
      <c r="H24" s="2043"/>
      <c r="I24" s="2043"/>
      <c r="J24" s="2043"/>
      <c r="K24" s="2043"/>
      <c r="L24" s="2043"/>
    </row>
    <row r="25" spans="1:12" ht="25.5" customHeight="1">
      <c r="A25" s="2043"/>
      <c r="B25" s="2043"/>
      <c r="C25" s="2043"/>
      <c r="D25" s="2043"/>
      <c r="E25" s="2043"/>
      <c r="F25" s="2043"/>
      <c r="G25" s="2043"/>
      <c r="H25" s="2043"/>
      <c r="I25" s="2043"/>
      <c r="J25" s="2043"/>
      <c r="K25" s="2043"/>
      <c r="L25" s="2043"/>
    </row>
    <row r="26" spans="1:12" ht="25.5" customHeight="1">
      <c r="A26" s="2043"/>
      <c r="B26" s="2043"/>
      <c r="C26" s="2043"/>
      <c r="D26" s="2043"/>
      <c r="E26" s="2043"/>
      <c r="F26" s="2043"/>
      <c r="G26" s="2043"/>
      <c r="H26" s="2043"/>
      <c r="I26" s="2043"/>
      <c r="J26" s="2043"/>
      <c r="K26" s="2043"/>
      <c r="L26" s="2043"/>
    </row>
    <row r="27" spans="1:12" ht="25.5" customHeight="1">
      <c r="A27" s="2043"/>
      <c r="B27" s="2043"/>
      <c r="C27" s="2043"/>
      <c r="D27" s="2043"/>
      <c r="E27" s="2043"/>
      <c r="F27" s="2043"/>
      <c r="G27" s="2043"/>
      <c r="H27" s="2043"/>
      <c r="I27" s="2043"/>
      <c r="J27" s="2043"/>
      <c r="K27" s="2043"/>
      <c r="L27" s="2043"/>
    </row>
    <row r="28" spans="1:12" ht="25.5" customHeight="1">
      <c r="A28" s="2043"/>
      <c r="B28" s="2043"/>
      <c r="C28" s="2043"/>
      <c r="D28" s="2043"/>
      <c r="E28" s="2043"/>
      <c r="F28" s="2043"/>
      <c r="G28" s="2043"/>
      <c r="H28" s="2043"/>
      <c r="I28" s="2043"/>
      <c r="J28" s="2043"/>
      <c r="K28" s="2043"/>
      <c r="L28" s="2043"/>
    </row>
    <row r="29" spans="1:12" ht="25.5" customHeight="1">
      <c r="A29" s="2043"/>
      <c r="B29" s="2043"/>
      <c r="C29" s="2043"/>
      <c r="D29" s="2043"/>
      <c r="E29" s="2043"/>
      <c r="F29" s="2043"/>
      <c r="G29" s="2043"/>
      <c r="H29" s="2043"/>
      <c r="I29" s="2043"/>
      <c r="J29" s="2043"/>
      <c r="K29" s="2043"/>
      <c r="L29" s="2043"/>
    </row>
    <row r="30" spans="1:12" ht="25.5" customHeight="1">
      <c r="A30" s="2043"/>
      <c r="B30" s="2043"/>
      <c r="C30" s="2043"/>
      <c r="D30" s="2043"/>
      <c r="E30" s="2043"/>
      <c r="F30" s="2043"/>
      <c r="G30" s="2043"/>
      <c r="H30" s="2043"/>
      <c r="I30" s="2043"/>
      <c r="J30" s="2043"/>
      <c r="K30" s="2043"/>
      <c r="L30" s="2043"/>
    </row>
    <row r="31" spans="1:12" ht="25.5" customHeight="1">
      <c r="A31" s="2043"/>
      <c r="B31" s="2043"/>
      <c r="C31" s="2043"/>
      <c r="D31" s="2043"/>
      <c r="E31" s="2043"/>
      <c r="F31" s="2043"/>
      <c r="G31" s="2043"/>
      <c r="H31" s="2043"/>
      <c r="I31" s="2043"/>
      <c r="J31" s="2043"/>
      <c r="K31" s="2043"/>
      <c r="L31" s="2043"/>
    </row>
    <row r="32" spans="1:12" ht="25.5" customHeight="1">
      <c r="A32" s="2043"/>
      <c r="B32" s="2043"/>
      <c r="C32" s="2043"/>
      <c r="D32" s="2043"/>
      <c r="E32" s="2043"/>
      <c r="F32" s="2043"/>
      <c r="G32" s="2043"/>
      <c r="H32" s="2043"/>
      <c r="I32" s="2043"/>
      <c r="J32" s="2043"/>
      <c r="K32" s="2043"/>
      <c r="L32" s="2043"/>
    </row>
    <row r="33" spans="1:12" ht="25.5" customHeight="1">
      <c r="A33" s="2043"/>
      <c r="B33" s="2043"/>
      <c r="C33" s="2043"/>
      <c r="D33" s="2043"/>
      <c r="E33" s="2043"/>
      <c r="F33" s="2043"/>
      <c r="G33" s="2043"/>
      <c r="H33" s="2043"/>
      <c r="I33" s="2043"/>
      <c r="J33" s="2043"/>
      <c r="K33" s="2043"/>
      <c r="L33" s="2043"/>
    </row>
    <row r="34" spans="1:12" ht="25.5" customHeight="1">
      <c r="A34" s="2043"/>
      <c r="B34" s="2043"/>
      <c r="C34" s="2043"/>
      <c r="D34" s="2043"/>
      <c r="E34" s="2043"/>
      <c r="F34" s="2043"/>
      <c r="G34" s="2043"/>
      <c r="H34" s="2043"/>
      <c r="I34" s="2043"/>
      <c r="J34" s="2043"/>
      <c r="K34" s="2043"/>
      <c r="L34" s="2043"/>
    </row>
    <row r="35" spans="1:12">
      <c r="A35" s="2043"/>
      <c r="B35" s="2043"/>
      <c r="C35" s="2043"/>
      <c r="D35" s="2043"/>
      <c r="E35" s="2043"/>
      <c r="F35" s="2043"/>
      <c r="G35" s="2043"/>
      <c r="H35" s="2043"/>
      <c r="I35" s="2043"/>
      <c r="J35" s="2043"/>
      <c r="K35" s="2043"/>
      <c r="L35" s="2043"/>
    </row>
    <row r="36" spans="1:12">
      <c r="A36" s="2043"/>
      <c r="B36" s="2043"/>
      <c r="C36" s="2043"/>
      <c r="D36" s="2043"/>
      <c r="E36" s="2043"/>
      <c r="F36" s="2043"/>
      <c r="G36" s="2043"/>
      <c r="H36" s="2043"/>
      <c r="I36" s="2043"/>
      <c r="J36" s="2043"/>
      <c r="K36" s="2043"/>
      <c r="L36" s="2043"/>
    </row>
    <row r="37" spans="1:12">
      <c r="A37" s="2043"/>
      <c r="B37" s="2043"/>
      <c r="C37" s="2043"/>
      <c r="D37" s="2043"/>
      <c r="E37" s="2043"/>
      <c r="F37" s="2043"/>
      <c r="G37" s="2043"/>
      <c r="H37" s="2043"/>
      <c r="I37" s="2043"/>
      <c r="J37" s="2043"/>
      <c r="K37" s="2043"/>
      <c r="L37" s="2043"/>
    </row>
    <row r="38" spans="1:12">
      <c r="A38" s="2043"/>
      <c r="B38" s="2043"/>
      <c r="C38" s="2043"/>
      <c r="D38" s="2043"/>
      <c r="E38" s="2043"/>
      <c r="F38" s="2043"/>
      <c r="G38" s="2043"/>
      <c r="H38" s="2043"/>
      <c r="I38" s="2043"/>
      <c r="J38" s="2043"/>
      <c r="K38" s="2043"/>
      <c r="L38" s="2043"/>
    </row>
    <row r="39" spans="1:12" ht="51" customHeight="1">
      <c r="A39" s="2043"/>
      <c r="B39" s="2043"/>
      <c r="C39" s="2043"/>
      <c r="D39" s="2043"/>
      <c r="E39" s="2043"/>
      <c r="F39" s="2043"/>
      <c r="G39" s="2043"/>
      <c r="H39" s="2043"/>
      <c r="I39" s="2043"/>
      <c r="J39" s="2043"/>
      <c r="K39" s="2043"/>
      <c r="L39" s="2043"/>
    </row>
    <row r="40" spans="1:12" ht="149.25" customHeight="1">
      <c r="A40" s="2043"/>
      <c r="B40" s="2043"/>
      <c r="C40" s="2043"/>
      <c r="D40" s="2043"/>
      <c r="E40" s="2043"/>
      <c r="F40" s="2043"/>
      <c r="G40" s="2043"/>
      <c r="H40" s="2043"/>
      <c r="I40" s="2043"/>
      <c r="J40" s="2043"/>
      <c r="K40" s="2043"/>
      <c r="L40" s="2043"/>
    </row>
    <row r="41" spans="1:12" ht="61.5" customHeight="1">
      <c r="A41" s="2043"/>
      <c r="B41" s="2043"/>
      <c r="C41" s="2043"/>
      <c r="D41" s="2043"/>
      <c r="E41" s="2043"/>
      <c r="F41" s="2043"/>
      <c r="G41" s="2043"/>
      <c r="H41" s="2043"/>
      <c r="I41" s="2043"/>
      <c r="J41" s="2043"/>
      <c r="K41" s="2043"/>
      <c r="L41" s="2043"/>
    </row>
    <row r="42" spans="1:12" ht="61.5" customHeight="1">
      <c r="A42" s="2043"/>
      <c r="B42" s="2043"/>
      <c r="C42" s="2043"/>
      <c r="D42" s="2043"/>
      <c r="E42" s="2043"/>
      <c r="F42" s="2043"/>
      <c r="G42" s="2043"/>
      <c r="H42" s="2043"/>
      <c r="I42" s="2043"/>
      <c r="J42" s="2043"/>
      <c r="K42" s="2043"/>
      <c r="L42" s="2043"/>
    </row>
    <row r="43" spans="1:12" ht="61.5" customHeight="1">
      <c r="A43" s="2043"/>
      <c r="B43" s="2043"/>
      <c r="C43" s="2043"/>
      <c r="D43" s="2043"/>
      <c r="E43" s="2043"/>
      <c r="F43" s="2043"/>
      <c r="G43" s="2043"/>
      <c r="H43" s="2043"/>
      <c r="I43" s="2043"/>
      <c r="J43" s="2043"/>
      <c r="K43" s="2043"/>
      <c r="L43" s="2043"/>
    </row>
    <row r="44" spans="1:12" ht="61.5" customHeight="1">
      <c r="A44" s="2043"/>
      <c r="B44" s="2043"/>
      <c r="C44" s="2043"/>
      <c r="D44" s="2043"/>
      <c r="E44" s="2043"/>
      <c r="F44" s="2043"/>
      <c r="G44" s="2043"/>
      <c r="H44" s="2043"/>
      <c r="I44" s="2043"/>
      <c r="J44" s="2043"/>
      <c r="K44" s="2043"/>
      <c r="L44" s="2043"/>
    </row>
    <row r="45" spans="1:12" ht="61.5" customHeight="1">
      <c r="A45" s="2043"/>
      <c r="B45" s="2043"/>
      <c r="C45" s="2043"/>
      <c r="D45" s="2043"/>
      <c r="E45" s="2043"/>
      <c r="F45" s="2043"/>
      <c r="G45" s="2043"/>
      <c r="H45" s="2043"/>
      <c r="I45" s="2043"/>
      <c r="J45" s="2043"/>
      <c r="K45" s="2043"/>
      <c r="L45" s="2043"/>
    </row>
    <row r="46" spans="1:12" ht="61.5" customHeight="1">
      <c r="A46" s="2043"/>
      <c r="B46" s="2043"/>
      <c r="C46" s="2043"/>
      <c r="D46" s="2043"/>
      <c r="E46" s="2043"/>
      <c r="F46" s="2043"/>
      <c r="G46" s="2043"/>
      <c r="H46" s="2043"/>
      <c r="I46" s="2043"/>
      <c r="J46" s="2043"/>
      <c r="K46" s="2043"/>
      <c r="L46" s="2043"/>
    </row>
    <row r="47" spans="1:12" ht="61.5" customHeight="1">
      <c r="A47" s="2043"/>
      <c r="B47" s="2043"/>
      <c r="C47" s="2043"/>
      <c r="D47" s="2043"/>
      <c r="E47" s="2043"/>
      <c r="F47" s="2043"/>
      <c r="G47" s="2043"/>
      <c r="H47" s="2043"/>
      <c r="I47" s="2043"/>
      <c r="J47" s="2043"/>
      <c r="K47" s="2043"/>
      <c r="L47" s="2043"/>
    </row>
    <row r="48" spans="1:12" ht="61.5" customHeight="1">
      <c r="A48" s="2043"/>
      <c r="B48" s="2043"/>
      <c r="C48" s="2043"/>
      <c r="D48" s="2043"/>
      <c r="E48" s="2043"/>
      <c r="F48" s="2043"/>
      <c r="G48" s="2043"/>
      <c r="H48" s="2043"/>
      <c r="I48" s="2043"/>
      <c r="J48" s="2043"/>
      <c r="K48" s="2043"/>
      <c r="L48" s="2043"/>
    </row>
    <row r="49" spans="1:12" ht="138.75" customHeight="1">
      <c r="A49" s="2043"/>
      <c r="B49" s="2043"/>
      <c r="C49" s="2043"/>
      <c r="D49" s="2043"/>
      <c r="E49" s="2043"/>
      <c r="F49" s="2043"/>
      <c r="G49" s="2043"/>
      <c r="H49" s="2043"/>
      <c r="I49" s="2043"/>
      <c r="J49" s="2043"/>
      <c r="K49" s="2043"/>
      <c r="L49" s="2043"/>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307" customWidth="1"/>
    <col min="2" max="2" width="44.140625" style="307" customWidth="1"/>
    <col min="3" max="3" width="43.28515625" style="307" customWidth="1"/>
    <col min="4" max="4" width="40" style="307" customWidth="1"/>
    <col min="5" max="5" width="19.42578125" style="307" customWidth="1"/>
    <col min="6" max="6" width="47.28515625" style="307" customWidth="1"/>
    <col min="7" max="7" width="36.42578125" style="307" customWidth="1"/>
    <col min="8" max="8" width="33.140625" style="307" customWidth="1"/>
    <col min="9" max="9" width="47.42578125" style="307" customWidth="1"/>
    <col min="10" max="10" width="18.7109375" style="307" customWidth="1"/>
    <col min="11" max="11" width="17.140625" style="307" customWidth="1"/>
    <col min="12" max="12" width="18" style="307" bestFit="1" customWidth="1"/>
    <col min="13" max="13" width="17.42578125" style="307" customWidth="1"/>
    <col min="14" max="14" width="24.7109375" style="307" customWidth="1"/>
    <col min="15" max="15" width="20.42578125" style="307" customWidth="1"/>
    <col min="16" max="16" width="14.7109375" style="307" customWidth="1"/>
    <col min="17" max="17" width="13" style="307" customWidth="1"/>
    <col min="18" max="21" width="11.42578125" style="307"/>
    <col min="22" max="22" width="18.7109375" style="307" bestFit="1" customWidth="1"/>
    <col min="23" max="16384" width="11.42578125" style="307"/>
  </cols>
  <sheetData>
    <row r="1" spans="1:17" ht="88.5" customHeight="1">
      <c r="A1" s="2044"/>
      <c r="B1" s="2044"/>
      <c r="C1" s="2044"/>
      <c r="D1" s="2044"/>
      <c r="E1" s="2044"/>
      <c r="F1" s="2044"/>
      <c r="G1" s="2044"/>
      <c r="H1" s="2044"/>
      <c r="I1" s="2044"/>
      <c r="J1" s="2044"/>
      <c r="K1" s="2044"/>
    </row>
    <row r="2" spans="1:17" ht="344.25" customHeight="1">
      <c r="A2" s="2046" t="s">
        <v>361</v>
      </c>
      <c r="B2" s="2047"/>
      <c r="C2" s="2047"/>
      <c r="D2" s="2047"/>
      <c r="E2" s="2047"/>
      <c r="F2" s="2047"/>
      <c r="G2" s="2047"/>
      <c r="H2" s="2047"/>
      <c r="I2" s="2047"/>
      <c r="J2" s="2047"/>
      <c r="K2" s="2047"/>
      <c r="L2" s="339"/>
      <c r="M2" s="339"/>
      <c r="N2" s="341"/>
      <c r="O2" s="341"/>
      <c r="P2" s="341"/>
      <c r="Q2" s="341"/>
    </row>
    <row r="3" spans="1:17" ht="204" customHeight="1">
      <c r="A3" s="2046"/>
      <c r="B3" s="2047"/>
      <c r="C3" s="2047"/>
      <c r="D3" s="2047"/>
      <c r="E3" s="2047"/>
      <c r="F3" s="2047"/>
      <c r="G3" s="2047"/>
      <c r="H3" s="2047"/>
      <c r="I3" s="2047"/>
      <c r="J3" s="2047"/>
      <c r="K3" s="2047"/>
      <c r="L3" s="339"/>
      <c r="M3" s="339"/>
      <c r="N3" s="341"/>
      <c r="O3" s="341"/>
      <c r="P3" s="341"/>
      <c r="Q3" s="341"/>
    </row>
    <row r="4" spans="1:17" ht="204" customHeight="1">
      <c r="A4" s="2046"/>
      <c r="B4" s="2047"/>
      <c r="C4" s="2047"/>
      <c r="D4" s="2047"/>
      <c r="E4" s="2047"/>
      <c r="F4" s="2047"/>
      <c r="G4" s="2047"/>
      <c r="H4" s="2047"/>
      <c r="I4" s="2047"/>
      <c r="J4" s="2047"/>
      <c r="K4" s="2047"/>
      <c r="L4" s="339"/>
      <c r="M4" s="339"/>
      <c r="N4" s="341"/>
      <c r="O4" s="341"/>
      <c r="P4" s="341"/>
      <c r="Q4" s="341"/>
    </row>
    <row r="5" spans="1:17" ht="324" customHeight="1">
      <c r="A5" s="2047"/>
      <c r="B5" s="2047"/>
      <c r="C5" s="2047"/>
      <c r="D5" s="2047"/>
      <c r="E5" s="2047"/>
      <c r="F5" s="2047"/>
      <c r="G5" s="2047"/>
      <c r="H5" s="2047"/>
      <c r="I5" s="2047"/>
      <c r="J5" s="2047"/>
      <c r="K5" s="2047"/>
      <c r="L5" s="339"/>
      <c r="M5" s="339"/>
      <c r="N5" s="341"/>
      <c r="O5" s="341"/>
      <c r="P5" s="341"/>
      <c r="Q5" s="341"/>
    </row>
    <row r="6" spans="1:17" ht="204" customHeight="1">
      <c r="A6" s="2047"/>
      <c r="B6" s="2047"/>
      <c r="C6" s="2047"/>
      <c r="D6" s="2047"/>
      <c r="E6" s="2047"/>
      <c r="F6" s="2047"/>
      <c r="G6" s="2047"/>
      <c r="H6" s="2047"/>
      <c r="I6" s="2047"/>
      <c r="J6" s="2047"/>
      <c r="K6" s="2047"/>
      <c r="L6" s="339"/>
      <c r="M6" s="339"/>
      <c r="N6" s="341"/>
      <c r="O6" s="341"/>
      <c r="P6" s="341"/>
      <c r="Q6" s="341"/>
    </row>
    <row r="7" spans="1:17" ht="204" customHeight="1">
      <c r="A7" s="2047"/>
      <c r="B7" s="2047"/>
      <c r="C7" s="2047"/>
      <c r="D7" s="2047"/>
      <c r="E7" s="2047"/>
      <c r="F7" s="2047"/>
      <c r="G7" s="2047"/>
      <c r="H7" s="2047"/>
      <c r="I7" s="2047"/>
      <c r="J7" s="2047"/>
      <c r="K7" s="2047"/>
      <c r="L7" s="339"/>
      <c r="M7" s="339"/>
      <c r="N7" s="341"/>
      <c r="O7" s="341"/>
      <c r="P7" s="341"/>
      <c r="Q7" s="341"/>
    </row>
    <row r="8" spans="1:17" ht="154.5" customHeight="1">
      <c r="A8" s="2047"/>
      <c r="B8" s="2047"/>
      <c r="C8" s="2047"/>
      <c r="D8" s="2047"/>
      <c r="E8" s="2047"/>
      <c r="F8" s="2047"/>
      <c r="G8" s="2047"/>
      <c r="H8" s="2047"/>
      <c r="I8" s="2047"/>
      <c r="J8" s="2047"/>
      <c r="K8" s="2047"/>
      <c r="L8" s="339"/>
      <c r="M8" s="339"/>
      <c r="N8" s="341"/>
      <c r="O8" s="341"/>
      <c r="P8" s="341"/>
      <c r="Q8" s="341"/>
    </row>
    <row r="9" spans="1:17" ht="25.5" customHeight="1">
      <c r="L9" s="339"/>
      <c r="M9" s="339"/>
      <c r="N9" s="341"/>
      <c r="O9" s="341"/>
      <c r="P9" s="341"/>
      <c r="Q9" s="341"/>
    </row>
    <row r="10" spans="1:17" ht="25.5" customHeight="1">
      <c r="L10" s="339"/>
      <c r="M10" s="339"/>
      <c r="N10" s="341"/>
      <c r="O10" s="341"/>
      <c r="P10" s="341"/>
      <c r="Q10" s="341"/>
    </row>
    <row r="11" spans="1:17" ht="25.5" customHeight="1">
      <c r="L11" s="339"/>
      <c r="M11" s="339"/>
      <c r="N11" s="341"/>
      <c r="O11" s="341"/>
      <c r="P11" s="341"/>
      <c r="Q11" s="341"/>
    </row>
    <row r="12" spans="1:17" ht="25.5" customHeight="1">
      <c r="L12" s="339"/>
      <c r="M12" s="339"/>
      <c r="N12" s="341"/>
      <c r="O12" s="341"/>
      <c r="P12" s="341"/>
      <c r="Q12" s="341"/>
    </row>
    <row r="13" spans="1:17" ht="25.5" customHeight="1">
      <c r="L13" s="339"/>
      <c r="M13" s="339"/>
      <c r="N13" s="341"/>
      <c r="O13" s="341"/>
      <c r="P13" s="341"/>
      <c r="Q13" s="341"/>
    </row>
    <row r="14" spans="1:17" ht="25.5" customHeight="1">
      <c r="L14" s="339"/>
      <c r="M14" s="339"/>
      <c r="N14" s="341"/>
      <c r="O14" s="341"/>
      <c r="P14" s="341"/>
      <c r="Q14" s="341"/>
    </row>
    <row r="15" spans="1:17" ht="23.25" customHeight="1">
      <c r="L15" s="339"/>
      <c r="M15" s="339"/>
      <c r="N15" s="341"/>
      <c r="O15" s="341"/>
      <c r="P15" s="341"/>
      <c r="Q15" s="341"/>
    </row>
    <row r="16" spans="1:17" ht="25.5" customHeight="1">
      <c r="A16" s="391"/>
      <c r="B16" s="391"/>
      <c r="C16" s="391"/>
      <c r="D16" s="391"/>
      <c r="E16" s="391"/>
      <c r="F16" s="391"/>
      <c r="G16" s="391"/>
      <c r="H16" s="391"/>
      <c r="I16" s="391"/>
      <c r="J16" s="391"/>
      <c r="K16" s="391"/>
      <c r="M16" s="339"/>
      <c r="N16" s="341"/>
      <c r="O16" s="341"/>
      <c r="P16" s="341"/>
      <c r="Q16" s="341"/>
    </row>
    <row r="17" spans="1:28" ht="25.5" customHeight="1">
      <c r="A17" s="391"/>
      <c r="B17" s="391"/>
      <c r="C17" s="391"/>
      <c r="D17" s="391"/>
      <c r="E17" s="391"/>
      <c r="F17" s="391"/>
      <c r="G17" s="391"/>
      <c r="H17" s="391"/>
      <c r="I17" s="391"/>
      <c r="J17" s="391"/>
      <c r="K17" s="391"/>
      <c r="L17" s="391"/>
      <c r="M17" s="391"/>
      <c r="N17" s="391"/>
      <c r="O17" s="391"/>
      <c r="P17" s="391"/>
      <c r="Q17" s="391"/>
    </row>
    <row r="18" spans="1:28" ht="25.5" customHeight="1">
      <c r="A18" s="391"/>
      <c r="B18" s="391"/>
      <c r="C18" s="391"/>
      <c r="D18" s="391"/>
      <c r="E18" s="391"/>
      <c r="F18" s="391"/>
      <c r="G18" s="391"/>
      <c r="H18" s="391"/>
      <c r="I18" s="391"/>
      <c r="J18" s="391"/>
      <c r="K18" s="391"/>
      <c r="L18" s="391"/>
      <c r="M18" s="391"/>
      <c r="N18" s="391"/>
      <c r="O18" s="391"/>
      <c r="P18" s="391"/>
      <c r="Q18" s="391"/>
      <c r="AB18" s="307" t="s">
        <v>1</v>
      </c>
    </row>
    <row r="19" spans="1:28" ht="25.5" customHeight="1">
      <c r="A19" s="391"/>
      <c r="B19" s="391"/>
      <c r="C19" s="391"/>
      <c r="D19" s="391"/>
      <c r="E19" s="391"/>
      <c r="F19" s="391"/>
      <c r="G19" s="391"/>
      <c r="H19" s="391"/>
      <c r="I19" s="391"/>
      <c r="J19" s="391"/>
      <c r="K19" s="391"/>
      <c r="L19" s="391"/>
      <c r="M19" s="391"/>
      <c r="N19" s="391"/>
      <c r="O19" s="391"/>
      <c r="P19" s="391"/>
      <c r="Q19" s="391"/>
    </row>
    <row r="20" spans="1:28" ht="25.5" customHeight="1">
      <c r="A20" s="391"/>
      <c r="B20" s="391"/>
      <c r="C20" s="391"/>
      <c r="D20" s="391"/>
      <c r="E20" s="391"/>
      <c r="F20" s="391"/>
      <c r="G20" s="391"/>
      <c r="H20" s="391"/>
      <c r="I20" s="391"/>
      <c r="J20" s="391"/>
      <c r="K20" s="391"/>
      <c r="L20" s="391"/>
      <c r="M20" s="391"/>
      <c r="N20" s="391"/>
      <c r="O20" s="391"/>
      <c r="P20" s="391"/>
      <c r="Q20" s="391"/>
    </row>
    <row r="21" spans="1:28" ht="25.5" customHeight="1">
      <c r="A21" s="391"/>
      <c r="B21" s="391"/>
      <c r="C21" s="391"/>
      <c r="D21" s="391"/>
      <c r="E21" s="391"/>
      <c r="F21" s="391"/>
      <c r="G21" s="391"/>
      <c r="H21" s="391"/>
      <c r="I21" s="391"/>
      <c r="J21" s="391"/>
      <c r="K21" s="391"/>
      <c r="L21" s="391"/>
      <c r="M21" s="391"/>
      <c r="N21" s="391"/>
      <c r="O21" s="391"/>
      <c r="P21" s="391"/>
      <c r="Q21" s="391"/>
    </row>
    <row r="22" spans="1:28" ht="25.5" customHeight="1">
      <c r="A22" s="391"/>
      <c r="B22" s="391"/>
      <c r="C22" s="391"/>
      <c r="D22" s="391"/>
      <c r="E22" s="391"/>
      <c r="F22" s="391"/>
      <c r="G22" s="391"/>
      <c r="H22" s="391"/>
      <c r="I22" s="391"/>
      <c r="J22" s="391"/>
      <c r="K22" s="391"/>
      <c r="L22" s="391"/>
      <c r="M22" s="391"/>
      <c r="N22" s="391"/>
      <c r="O22" s="391"/>
      <c r="P22" s="391"/>
      <c r="Q22" s="391"/>
    </row>
    <row r="23" spans="1:28" ht="25.5" customHeight="1">
      <c r="A23" s="391"/>
      <c r="B23" s="391"/>
      <c r="C23" s="391"/>
      <c r="D23" s="391"/>
      <c r="E23" s="391"/>
      <c r="F23" s="391"/>
      <c r="G23" s="391"/>
      <c r="H23" s="391"/>
      <c r="I23" s="391"/>
      <c r="J23" s="391"/>
      <c r="K23" s="391"/>
      <c r="L23" s="391"/>
      <c r="M23" s="391"/>
      <c r="N23" s="391"/>
      <c r="O23" s="391"/>
      <c r="P23" s="391"/>
      <c r="Q23" s="391"/>
    </row>
    <row r="24" spans="1:28" ht="25.5" customHeight="1">
      <c r="A24" s="391"/>
      <c r="B24" s="391"/>
      <c r="C24" s="391"/>
      <c r="D24" s="391"/>
      <c r="E24" s="391"/>
      <c r="F24" s="391"/>
      <c r="G24" s="391"/>
      <c r="H24" s="391"/>
      <c r="I24" s="391"/>
      <c r="J24" s="391"/>
      <c r="K24" s="391"/>
      <c r="L24" s="391"/>
      <c r="M24" s="391"/>
      <c r="N24" s="391"/>
      <c r="O24" s="391"/>
      <c r="P24" s="391"/>
      <c r="Q24" s="391"/>
    </row>
    <row r="25" spans="1:28" ht="25.5" customHeight="1">
      <c r="A25" s="391"/>
      <c r="B25" s="391"/>
      <c r="C25" s="391"/>
      <c r="D25" s="391"/>
      <c r="E25" s="391"/>
      <c r="F25" s="391"/>
      <c r="G25" s="391"/>
      <c r="H25" s="391"/>
      <c r="I25" s="391"/>
      <c r="J25" s="391"/>
      <c r="K25" s="391"/>
      <c r="L25" s="391"/>
      <c r="M25" s="391"/>
      <c r="N25" s="391"/>
      <c r="O25" s="391"/>
      <c r="P25" s="391"/>
      <c r="Q25" s="391"/>
    </row>
    <row r="26" spans="1:28" ht="25.5" customHeight="1">
      <c r="A26" s="391"/>
      <c r="B26" s="391"/>
      <c r="C26" s="391"/>
      <c r="D26" s="391"/>
      <c r="E26" s="391"/>
      <c r="F26" s="391"/>
      <c r="G26" s="391"/>
      <c r="H26" s="391"/>
      <c r="I26" s="391"/>
      <c r="J26" s="391"/>
      <c r="K26" s="391"/>
      <c r="L26" s="391"/>
      <c r="M26" s="391"/>
      <c r="N26" s="391"/>
      <c r="O26" s="391"/>
      <c r="P26" s="391"/>
      <c r="Q26" s="391"/>
    </row>
    <row r="27" spans="1:28" ht="25.5" customHeight="1">
      <c r="A27" s="391"/>
      <c r="B27" s="391"/>
      <c r="C27" s="391"/>
      <c r="D27" s="391"/>
      <c r="E27" s="391"/>
      <c r="F27" s="391"/>
      <c r="G27" s="391"/>
      <c r="H27" s="391"/>
      <c r="I27" s="391"/>
      <c r="J27" s="391"/>
      <c r="K27" s="391"/>
      <c r="L27" s="391"/>
      <c r="M27" s="391"/>
      <c r="N27" s="391"/>
      <c r="O27" s="391"/>
      <c r="P27" s="391"/>
      <c r="Q27" s="391"/>
    </row>
    <row r="28" spans="1:28" ht="25.5" customHeight="1">
      <c r="A28" s="391"/>
      <c r="B28" s="391"/>
      <c r="C28" s="391"/>
      <c r="D28" s="391"/>
      <c r="E28" s="391"/>
      <c r="F28" s="391"/>
      <c r="G28" s="391"/>
      <c r="H28" s="391"/>
      <c r="I28" s="391"/>
      <c r="J28" s="391"/>
      <c r="K28" s="391"/>
      <c r="L28" s="391"/>
      <c r="M28" s="391"/>
      <c r="N28" s="391"/>
      <c r="O28" s="391"/>
      <c r="P28" s="391"/>
      <c r="Q28" s="391"/>
    </row>
    <row r="29" spans="1:28" ht="25.5" customHeight="1">
      <c r="A29" s="391"/>
      <c r="B29" s="391"/>
      <c r="C29" s="391"/>
      <c r="D29" s="391"/>
      <c r="E29" s="391"/>
      <c r="F29" s="391"/>
      <c r="G29" s="391"/>
      <c r="H29" s="391"/>
      <c r="I29" s="391"/>
      <c r="J29" s="391"/>
      <c r="K29" s="391"/>
      <c r="L29" s="391"/>
      <c r="M29" s="391"/>
      <c r="N29" s="391"/>
      <c r="O29" s="391"/>
      <c r="P29" s="391"/>
      <c r="Q29" s="391"/>
    </row>
    <row r="30" spans="1:28" ht="25.5" customHeight="1">
      <c r="A30" s="391"/>
      <c r="B30" s="391"/>
      <c r="C30" s="391"/>
      <c r="D30" s="391"/>
      <c r="E30" s="391"/>
      <c r="F30" s="391"/>
      <c r="G30" s="391"/>
      <c r="H30" s="391"/>
      <c r="I30" s="391"/>
      <c r="J30" s="391"/>
      <c r="K30" s="391"/>
      <c r="L30" s="391"/>
      <c r="M30" s="391"/>
      <c r="N30" s="391"/>
      <c r="O30" s="391"/>
      <c r="P30" s="391"/>
      <c r="Q30" s="391"/>
      <c r="R30" s="307" t="s">
        <v>1</v>
      </c>
    </row>
    <row r="31" spans="1:28" ht="25.5" customHeight="1">
      <c r="A31" s="391"/>
      <c r="B31" s="391"/>
      <c r="C31" s="391"/>
      <c r="D31" s="391"/>
      <c r="E31" s="391"/>
      <c r="F31" s="391"/>
      <c r="G31" s="391"/>
      <c r="H31" s="391"/>
      <c r="I31" s="391"/>
      <c r="J31" s="391"/>
      <c r="K31" s="391"/>
      <c r="L31" s="391"/>
      <c r="M31" s="391"/>
      <c r="N31" s="391"/>
      <c r="O31" s="391"/>
      <c r="P31" s="391"/>
      <c r="Q31" s="391"/>
    </row>
    <row r="32" spans="1:28" ht="25.5" customHeight="1">
      <c r="A32" s="391"/>
      <c r="B32" s="391"/>
      <c r="C32" s="391"/>
      <c r="D32" s="391"/>
      <c r="E32" s="391"/>
      <c r="F32" s="391"/>
      <c r="G32" s="391"/>
      <c r="H32" s="391"/>
      <c r="I32" s="391"/>
      <c r="J32" s="391"/>
      <c r="K32" s="391"/>
      <c r="L32" s="391"/>
      <c r="M32" s="391"/>
      <c r="N32" s="391"/>
      <c r="O32" s="391"/>
      <c r="P32" s="391"/>
      <c r="Q32" s="391"/>
    </row>
    <row r="33" spans="1:20" ht="25.5" customHeight="1">
      <c r="A33" s="391"/>
      <c r="B33" s="391"/>
      <c r="C33" s="391"/>
      <c r="D33" s="391"/>
      <c r="E33" s="391"/>
      <c r="F33" s="391"/>
      <c r="G33" s="391"/>
      <c r="H33" s="391"/>
      <c r="I33" s="391"/>
      <c r="J33" s="391"/>
      <c r="K33" s="391"/>
      <c r="L33" s="391"/>
      <c r="M33" s="391"/>
      <c r="N33" s="391"/>
      <c r="O33" s="391"/>
      <c r="P33" s="391"/>
      <c r="Q33" s="391"/>
    </row>
    <row r="34" spans="1:20" ht="25.5" customHeight="1">
      <c r="A34" s="391"/>
      <c r="B34" s="391"/>
      <c r="C34" s="391"/>
      <c r="D34" s="391"/>
      <c r="E34" s="391"/>
      <c r="F34" s="391"/>
      <c r="G34" s="391"/>
      <c r="H34" s="391"/>
      <c r="I34" s="391"/>
      <c r="J34" s="391"/>
      <c r="K34" s="391"/>
      <c r="L34" s="391"/>
      <c r="M34" s="391"/>
      <c r="N34" s="391"/>
      <c r="O34" s="391"/>
      <c r="P34" s="391"/>
      <c r="Q34" s="391"/>
    </row>
    <row r="35" spans="1:20" ht="25.5" customHeight="1">
      <c r="A35" s="391"/>
      <c r="B35" s="391"/>
      <c r="C35" s="391"/>
      <c r="D35" s="391"/>
      <c r="E35" s="391"/>
      <c r="F35" s="391"/>
      <c r="G35" s="391"/>
      <c r="H35" s="391"/>
      <c r="I35" s="391"/>
      <c r="J35" s="391"/>
      <c r="K35" s="391"/>
      <c r="L35" s="391"/>
      <c r="M35" s="391"/>
      <c r="N35" s="391"/>
      <c r="O35" s="391"/>
      <c r="P35" s="391"/>
      <c r="Q35" s="391"/>
    </row>
    <row r="36" spans="1:20" ht="25.5" customHeight="1">
      <c r="A36" s="391"/>
      <c r="B36" s="391"/>
      <c r="C36" s="391"/>
      <c r="D36" s="391"/>
      <c r="E36" s="391"/>
      <c r="F36" s="391"/>
      <c r="G36" s="391"/>
      <c r="H36" s="391"/>
      <c r="I36" s="391"/>
      <c r="J36" s="391"/>
      <c r="K36" s="391"/>
      <c r="L36" s="391"/>
      <c r="M36" s="391"/>
      <c r="N36" s="391"/>
      <c r="O36" s="391"/>
      <c r="P36" s="391"/>
      <c r="Q36" s="391"/>
    </row>
    <row r="37" spans="1:20" ht="25.5" customHeight="1">
      <c r="A37" s="391"/>
      <c r="B37" s="391"/>
      <c r="C37" s="391"/>
      <c r="D37" s="391"/>
      <c r="E37" s="391"/>
      <c r="F37" s="391"/>
      <c r="G37" s="391"/>
      <c r="H37" s="391"/>
      <c r="I37" s="391"/>
      <c r="J37" s="391"/>
      <c r="K37" s="391"/>
      <c r="L37" s="391"/>
      <c r="M37" s="391"/>
      <c r="N37" s="391"/>
      <c r="O37" s="391"/>
      <c r="P37" s="391"/>
      <c r="Q37" s="391"/>
    </row>
    <row r="42" spans="1:20" ht="51" customHeight="1"/>
    <row r="43" spans="1:20" ht="78" customHeight="1">
      <c r="A43" s="2045"/>
      <c r="B43" s="2045"/>
      <c r="C43" s="2045"/>
      <c r="D43" s="2045"/>
      <c r="E43" s="2045"/>
      <c r="F43" s="2045"/>
      <c r="G43" s="2045"/>
      <c r="H43" s="2045"/>
      <c r="I43" s="2045"/>
      <c r="J43" s="2045"/>
      <c r="K43" s="2045"/>
      <c r="L43" s="2045"/>
      <c r="M43" s="2045"/>
      <c r="N43" s="2045"/>
      <c r="O43" s="2045"/>
      <c r="P43" s="2045"/>
      <c r="Q43" s="2045"/>
      <c r="R43" s="2045"/>
      <c r="S43" s="2045"/>
      <c r="T43" s="2045"/>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307" customWidth="1"/>
    <col min="2" max="7" width="45.7109375" style="307" customWidth="1"/>
    <col min="8" max="8" width="14.85546875" style="307" customWidth="1"/>
    <col min="9" max="9" width="22.42578125" style="307" customWidth="1"/>
    <col min="10" max="10" width="47.85546875" style="307" customWidth="1"/>
    <col min="11" max="11" width="17.140625" style="307" customWidth="1"/>
    <col min="12" max="12" width="18" style="307" bestFit="1" customWidth="1"/>
    <col min="13" max="13" width="17.42578125" style="307" customWidth="1"/>
    <col min="14" max="14" width="24.7109375" style="307" customWidth="1"/>
    <col min="15" max="15" width="20.42578125" style="307" customWidth="1"/>
    <col min="16" max="16" width="14.7109375" style="307" customWidth="1"/>
    <col min="17" max="17" width="13" style="307" customWidth="1"/>
    <col min="18" max="16384" width="11.42578125" style="307"/>
  </cols>
  <sheetData>
    <row r="1" spans="1:11" s="445" customFormat="1" ht="117" customHeight="1">
      <c r="A1" s="2048"/>
      <c r="B1" s="2048"/>
      <c r="C1" s="2048"/>
      <c r="D1" s="2048"/>
      <c r="E1" s="2048"/>
      <c r="F1" s="2048"/>
      <c r="G1" s="2048"/>
      <c r="H1" s="2048"/>
      <c r="I1" s="2048"/>
      <c r="J1" s="2048"/>
      <c r="K1" s="2048"/>
    </row>
    <row r="2" spans="1:11" s="445" customFormat="1" ht="90.75" customHeight="1">
      <c r="A2" s="2049" t="s">
        <v>362</v>
      </c>
      <c r="B2" s="2050"/>
      <c r="C2" s="2050"/>
      <c r="D2" s="2050"/>
      <c r="E2" s="2050"/>
      <c r="F2" s="2050"/>
      <c r="G2" s="2050"/>
      <c r="H2" s="2050"/>
      <c r="I2" s="2050"/>
      <c r="J2" s="2050"/>
      <c r="K2" s="2050"/>
    </row>
    <row r="3" spans="1:11" s="445" customFormat="1" ht="90.75" customHeight="1">
      <c r="A3" s="2050"/>
      <c r="B3" s="2050"/>
      <c r="C3" s="2050"/>
      <c r="D3" s="2050"/>
      <c r="E3" s="2050"/>
      <c r="F3" s="2050"/>
      <c r="G3" s="2050"/>
      <c r="H3" s="2050"/>
      <c r="I3" s="2050"/>
      <c r="J3" s="2050"/>
      <c r="K3" s="2050"/>
    </row>
    <row r="4" spans="1:11" s="445" customFormat="1" ht="90.75" customHeight="1">
      <c r="A4" s="2050"/>
      <c r="B4" s="2050"/>
      <c r="C4" s="2050"/>
      <c r="D4" s="2050"/>
      <c r="E4" s="2050"/>
      <c r="F4" s="2050"/>
      <c r="G4" s="2050"/>
      <c r="H4" s="2050"/>
      <c r="I4" s="2050"/>
      <c r="J4" s="2050"/>
      <c r="K4" s="2050"/>
    </row>
    <row r="5" spans="1:11" s="445" customFormat="1" ht="90.75" customHeight="1">
      <c r="A5" s="2050"/>
      <c r="B5" s="2050"/>
      <c r="C5" s="2050"/>
      <c r="D5" s="2050"/>
      <c r="E5" s="2050"/>
      <c r="F5" s="2050"/>
      <c r="G5" s="2050"/>
      <c r="H5" s="2050"/>
      <c r="I5" s="2050"/>
      <c r="J5" s="2050"/>
      <c r="K5" s="2050"/>
    </row>
    <row r="6" spans="1:11" s="445" customFormat="1" ht="90.75" customHeight="1">
      <c r="A6" s="2050"/>
      <c r="B6" s="2050"/>
      <c r="C6" s="2050"/>
      <c r="D6" s="2050"/>
      <c r="E6" s="2050"/>
      <c r="F6" s="2050"/>
      <c r="G6" s="2050"/>
      <c r="H6" s="2050"/>
      <c r="I6" s="2050"/>
      <c r="J6" s="2050"/>
      <c r="K6" s="2050"/>
    </row>
    <row r="7" spans="1:11" s="445" customFormat="1" ht="90.75" customHeight="1">
      <c r="A7" s="2050"/>
      <c r="B7" s="2050"/>
      <c r="C7" s="2050"/>
      <c r="D7" s="2050"/>
      <c r="E7" s="2050"/>
      <c r="F7" s="2050"/>
      <c r="G7" s="2050"/>
      <c r="H7" s="2050"/>
      <c r="I7" s="2050"/>
      <c r="J7" s="2050"/>
      <c r="K7" s="2050"/>
    </row>
    <row r="8" spans="1:11" s="445" customFormat="1" ht="90.75" customHeight="1">
      <c r="A8" s="2050"/>
      <c r="B8" s="2050"/>
      <c r="C8" s="2050"/>
      <c r="D8" s="2050"/>
      <c r="E8" s="2050"/>
      <c r="F8" s="2050"/>
      <c r="G8" s="2050"/>
      <c r="H8" s="2050"/>
      <c r="I8" s="2050"/>
      <c r="J8" s="2050"/>
      <c r="K8" s="2050"/>
    </row>
    <row r="9" spans="1:11" s="445" customFormat="1" ht="90.75" customHeight="1">
      <c r="A9" s="2050"/>
      <c r="B9" s="2050"/>
      <c r="C9" s="2050"/>
      <c r="D9" s="2050"/>
      <c r="E9" s="2050"/>
      <c r="F9" s="2050"/>
      <c r="G9" s="2050"/>
      <c r="H9" s="2050"/>
      <c r="I9" s="2050"/>
      <c r="J9" s="2050"/>
      <c r="K9" s="2050"/>
    </row>
    <row r="10" spans="1:11" s="445" customFormat="1" ht="90.75" customHeight="1">
      <c r="A10" s="2050"/>
      <c r="B10" s="2050"/>
      <c r="C10" s="2050"/>
      <c r="D10" s="2050"/>
      <c r="E10" s="2050"/>
      <c r="F10" s="2050"/>
      <c r="G10" s="2050"/>
      <c r="H10" s="2050"/>
      <c r="I10" s="2050"/>
      <c r="J10" s="2050"/>
      <c r="K10" s="2050"/>
    </row>
    <row r="11" spans="1:11" s="445" customFormat="1" ht="90.75" customHeight="1">
      <c r="A11" s="2050"/>
      <c r="B11" s="2050"/>
      <c r="C11" s="2050"/>
      <c r="D11" s="2050"/>
      <c r="E11" s="2050"/>
      <c r="F11" s="2050"/>
      <c r="G11" s="2050"/>
      <c r="H11" s="2050"/>
      <c r="I11" s="2050"/>
      <c r="J11" s="2050"/>
      <c r="K11" s="2050"/>
    </row>
    <row r="12" spans="1:11" s="445" customFormat="1" ht="90.75" customHeight="1">
      <c r="A12" s="2050"/>
      <c r="B12" s="2050"/>
      <c r="C12" s="2050"/>
      <c r="D12" s="2050"/>
      <c r="E12" s="2050"/>
      <c r="F12" s="2050"/>
      <c r="G12" s="2050"/>
      <c r="H12" s="2050"/>
      <c r="I12" s="2050"/>
      <c r="J12" s="2050"/>
      <c r="K12" s="2050"/>
    </row>
    <row r="13" spans="1:11" s="445" customFormat="1" ht="90.75" customHeight="1">
      <c r="A13" s="2050"/>
      <c r="B13" s="2050"/>
      <c r="C13" s="2050"/>
      <c r="D13" s="2050"/>
      <c r="E13" s="2050"/>
      <c r="F13" s="2050"/>
      <c r="G13" s="2050"/>
      <c r="H13" s="2050"/>
      <c r="I13" s="2050"/>
      <c r="J13" s="2050"/>
      <c r="K13" s="2050"/>
    </row>
    <row r="14" spans="1:11" s="445" customFormat="1" ht="90.75" customHeight="1">
      <c r="A14" s="2050"/>
      <c r="B14" s="2050"/>
      <c r="C14" s="2050"/>
      <c r="D14" s="2050"/>
      <c r="E14" s="2050"/>
      <c r="F14" s="2050"/>
      <c r="G14" s="2050"/>
      <c r="H14" s="2050"/>
      <c r="I14" s="2050"/>
      <c r="J14" s="2050"/>
      <c r="K14" s="2050"/>
    </row>
    <row r="15" spans="1:11" s="445" customFormat="1" ht="90.75" customHeight="1">
      <c r="A15" s="2050"/>
      <c r="B15" s="2050"/>
      <c r="C15" s="2050"/>
      <c r="D15" s="2050"/>
      <c r="E15" s="2050"/>
      <c r="F15" s="2050"/>
      <c r="G15" s="2050"/>
      <c r="H15" s="2050"/>
      <c r="I15" s="2050"/>
      <c r="J15" s="2050"/>
      <c r="K15" s="2050"/>
    </row>
    <row r="16" spans="1:11" s="445" customFormat="1" ht="90.75" customHeight="1">
      <c r="A16" s="2050"/>
      <c r="B16" s="2050"/>
      <c r="C16" s="2050"/>
      <c r="D16" s="2050"/>
      <c r="E16" s="2050"/>
      <c r="F16" s="2050"/>
      <c r="G16" s="2050"/>
      <c r="H16" s="2050"/>
      <c r="I16" s="2050"/>
      <c r="J16" s="2050"/>
      <c r="K16" s="2050"/>
    </row>
    <row r="17" spans="1:17" s="445" customFormat="1" ht="90.75" customHeight="1">
      <c r="A17" s="2050"/>
      <c r="B17" s="2050"/>
      <c r="C17" s="2050"/>
      <c r="D17" s="2050"/>
      <c r="E17" s="2050"/>
      <c r="F17" s="2050"/>
      <c r="G17" s="2050"/>
      <c r="H17" s="2050"/>
      <c r="I17" s="2050"/>
      <c r="J17" s="2050"/>
      <c r="K17" s="2050"/>
    </row>
    <row r="18" spans="1:17" s="445" customFormat="1" ht="90.75" customHeight="1">
      <c r="A18" s="2050"/>
      <c r="B18" s="2050"/>
      <c r="C18" s="2050"/>
      <c r="D18" s="2050"/>
      <c r="E18" s="2050"/>
      <c r="F18" s="2050"/>
      <c r="G18" s="2050"/>
      <c r="H18" s="2050"/>
      <c r="I18" s="2050"/>
      <c r="J18" s="2050"/>
      <c r="K18" s="2050"/>
    </row>
    <row r="19" spans="1:17" s="445" customFormat="1" ht="90.75" customHeight="1">
      <c r="A19" s="2050"/>
      <c r="B19" s="2050"/>
      <c r="C19" s="2050"/>
      <c r="D19" s="2050"/>
      <c r="E19" s="2050"/>
      <c r="F19" s="2050"/>
      <c r="G19" s="2050"/>
      <c r="H19" s="2050"/>
      <c r="I19" s="2050"/>
      <c r="J19" s="2050"/>
      <c r="K19" s="2050"/>
    </row>
    <row r="20" spans="1:17" s="445" customFormat="1" ht="169.5" customHeight="1">
      <c r="A20" s="2050"/>
      <c r="B20" s="2050"/>
      <c r="C20" s="2050"/>
      <c r="D20" s="2050"/>
      <c r="E20" s="2050"/>
      <c r="F20" s="2050"/>
      <c r="G20" s="2050"/>
      <c r="H20" s="2050"/>
      <c r="I20" s="2050"/>
      <c r="J20" s="2050"/>
      <c r="K20" s="2050"/>
    </row>
    <row r="21" spans="1:17" ht="357.75" customHeight="1">
      <c r="L21" s="339"/>
      <c r="M21" s="339"/>
      <c r="N21" s="341"/>
      <c r="O21" s="341"/>
      <c r="P21" s="341"/>
      <c r="Q21" s="341"/>
    </row>
    <row r="22" spans="1:17" ht="408.75" customHeight="1">
      <c r="L22" s="339"/>
      <c r="M22" s="339"/>
      <c r="N22" s="341"/>
      <c r="O22" s="341"/>
      <c r="P22" s="341"/>
      <c r="Q22" s="341"/>
    </row>
    <row r="23" spans="1:17" ht="361.5" customHeight="1">
      <c r="L23" s="339"/>
      <c r="M23" s="339"/>
      <c r="N23" s="341"/>
      <c r="O23" s="341"/>
      <c r="P23" s="341"/>
      <c r="Q23" s="341"/>
    </row>
    <row r="24" spans="1:17" ht="60.75" customHeight="1">
      <c r="A24" s="2051"/>
      <c r="B24" s="2051"/>
      <c r="C24" s="2051"/>
      <c r="D24" s="2051"/>
      <c r="E24" s="2051"/>
      <c r="F24" s="2051"/>
      <c r="G24" s="2051"/>
      <c r="H24" s="2051"/>
      <c r="I24" s="2051"/>
      <c r="J24" s="2051"/>
      <c r="K24" s="2051"/>
      <c r="L24" s="339"/>
      <c r="M24" s="339"/>
      <c r="N24" s="341"/>
      <c r="O24" s="341"/>
      <c r="P24" s="341"/>
      <c r="Q24" s="341"/>
    </row>
    <row r="25" spans="1:17" ht="25.5" customHeight="1">
      <c r="L25" s="339"/>
      <c r="M25" s="339"/>
      <c r="N25" s="341"/>
      <c r="O25" s="341"/>
      <c r="P25" s="341"/>
      <c r="Q25" s="341"/>
    </row>
    <row r="26" spans="1:17" ht="25.5" customHeight="1">
      <c r="L26" s="339"/>
      <c r="M26" s="339"/>
      <c r="N26" s="341"/>
      <c r="O26" s="341"/>
      <c r="P26" s="341"/>
      <c r="Q26" s="341"/>
    </row>
    <row r="27" spans="1:17" ht="25.5" customHeight="1">
      <c r="L27" s="339"/>
      <c r="M27" s="339"/>
      <c r="N27" s="341"/>
      <c r="O27" s="341"/>
      <c r="P27" s="341"/>
      <c r="Q27" s="341"/>
    </row>
    <row r="28" spans="1:17" ht="25.5" customHeight="1">
      <c r="L28" s="339"/>
      <c r="M28" s="339"/>
      <c r="N28" s="341"/>
      <c r="O28" s="341"/>
      <c r="P28" s="341"/>
      <c r="Q28" s="341"/>
    </row>
    <row r="29" spans="1:17" ht="25.5" customHeight="1">
      <c r="L29" s="339"/>
      <c r="M29" s="339"/>
      <c r="N29" s="341"/>
      <c r="O29" s="341"/>
      <c r="P29" s="341"/>
      <c r="Q29" s="341"/>
    </row>
    <row r="30" spans="1:17" ht="25.5" customHeight="1">
      <c r="L30" s="339"/>
      <c r="M30" s="339"/>
      <c r="N30" s="341"/>
      <c r="O30" s="341"/>
      <c r="P30" s="341"/>
      <c r="Q30" s="341"/>
    </row>
    <row r="31" spans="1:17" ht="23.25" customHeight="1">
      <c r="L31" s="339"/>
      <c r="M31" s="339"/>
      <c r="N31" s="341"/>
      <c r="O31" s="341"/>
      <c r="P31" s="341"/>
      <c r="Q31" s="341"/>
    </row>
    <row r="32" spans="1:17" ht="25.5" customHeight="1">
      <c r="A32" s="391"/>
      <c r="B32" s="391"/>
      <c r="C32" s="391"/>
      <c r="D32" s="391"/>
      <c r="E32" s="391"/>
      <c r="F32" s="391"/>
      <c r="G32" s="391"/>
      <c r="H32" s="391"/>
      <c r="I32" s="391"/>
      <c r="J32" s="391"/>
      <c r="K32" s="391"/>
      <c r="M32" s="339"/>
      <c r="N32" s="341"/>
      <c r="O32" s="341"/>
      <c r="P32" s="341"/>
      <c r="Q32" s="341"/>
    </row>
    <row r="33" spans="1:18" ht="25.5" customHeight="1">
      <c r="A33" s="391"/>
      <c r="B33" s="391"/>
      <c r="C33" s="391"/>
      <c r="D33" s="391"/>
      <c r="E33" s="391"/>
      <c r="F33" s="391"/>
      <c r="G33" s="391"/>
      <c r="H33" s="391"/>
      <c r="I33" s="391"/>
      <c r="J33" s="391"/>
      <c r="K33" s="391"/>
      <c r="L33" s="391"/>
      <c r="M33" s="391"/>
      <c r="N33" s="391"/>
      <c r="O33" s="391"/>
      <c r="P33" s="391"/>
      <c r="Q33" s="391"/>
    </row>
    <row r="34" spans="1:18" ht="25.5" customHeight="1">
      <c r="A34" s="391"/>
      <c r="B34" s="391"/>
      <c r="C34" s="391"/>
      <c r="D34" s="391"/>
      <c r="E34" s="391"/>
      <c r="F34" s="391"/>
      <c r="G34" s="391"/>
      <c r="H34" s="391"/>
      <c r="I34" s="391"/>
      <c r="J34" s="391"/>
      <c r="K34" s="391"/>
      <c r="L34" s="391"/>
      <c r="M34" s="391"/>
      <c r="N34" s="391"/>
      <c r="O34" s="391"/>
      <c r="P34" s="391"/>
      <c r="Q34" s="391"/>
    </row>
    <row r="35" spans="1:18" ht="25.5" customHeight="1">
      <c r="A35" s="391"/>
      <c r="B35" s="391"/>
      <c r="C35" s="391"/>
      <c r="D35" s="391"/>
      <c r="E35" s="391"/>
      <c r="F35" s="391"/>
      <c r="G35" s="391"/>
      <c r="H35" s="391"/>
      <c r="I35" s="391"/>
      <c r="J35" s="391"/>
      <c r="K35" s="391"/>
      <c r="L35" s="391"/>
      <c r="M35" s="391"/>
      <c r="N35" s="391"/>
      <c r="O35" s="391"/>
      <c r="P35" s="391"/>
      <c r="Q35" s="391"/>
    </row>
    <row r="36" spans="1:18" ht="25.5" customHeight="1">
      <c r="A36" s="391"/>
      <c r="B36" s="391"/>
      <c r="C36" s="391"/>
      <c r="D36" s="391"/>
      <c r="E36" s="391"/>
      <c r="F36" s="391"/>
      <c r="G36" s="391"/>
      <c r="H36" s="391"/>
      <c r="I36" s="391"/>
      <c r="J36" s="391"/>
      <c r="K36" s="391"/>
      <c r="L36" s="391"/>
      <c r="M36" s="391"/>
      <c r="N36" s="391"/>
      <c r="O36" s="391"/>
      <c r="P36" s="391"/>
      <c r="Q36" s="391"/>
    </row>
    <row r="37" spans="1:18" ht="25.5" customHeight="1">
      <c r="A37" s="391"/>
      <c r="B37" s="391"/>
      <c r="C37" s="391"/>
      <c r="D37" s="391"/>
      <c r="E37" s="391"/>
      <c r="F37" s="391"/>
      <c r="G37" s="391"/>
      <c r="H37" s="391"/>
      <c r="I37" s="391"/>
      <c r="J37" s="391"/>
      <c r="K37" s="391"/>
      <c r="L37" s="391"/>
      <c r="M37" s="391"/>
      <c r="N37" s="391"/>
      <c r="O37" s="391"/>
      <c r="P37" s="391"/>
      <c r="Q37" s="391"/>
    </row>
    <row r="38" spans="1:18" ht="25.5" customHeight="1">
      <c r="A38" s="391"/>
      <c r="B38" s="391"/>
      <c r="C38" s="391"/>
      <c r="D38" s="391"/>
      <c r="E38" s="391"/>
      <c r="F38" s="391"/>
      <c r="G38" s="391"/>
      <c r="H38" s="391"/>
      <c r="I38" s="391"/>
      <c r="J38" s="391"/>
      <c r="K38" s="391"/>
      <c r="L38" s="391"/>
      <c r="M38" s="391"/>
      <c r="N38" s="391"/>
      <c r="O38" s="391"/>
      <c r="P38" s="391"/>
      <c r="Q38" s="391"/>
    </row>
    <row r="39" spans="1:18" ht="25.5" customHeight="1">
      <c r="A39" s="391"/>
      <c r="B39" s="391"/>
      <c r="C39" s="391"/>
      <c r="D39" s="391"/>
      <c r="E39" s="391"/>
      <c r="F39" s="391"/>
      <c r="G39" s="391"/>
      <c r="H39" s="391"/>
      <c r="I39" s="391"/>
      <c r="J39" s="391"/>
      <c r="K39" s="391"/>
      <c r="L39" s="391"/>
      <c r="M39" s="391"/>
      <c r="N39" s="391"/>
      <c r="O39" s="391"/>
      <c r="P39" s="391"/>
      <c r="Q39" s="391"/>
    </row>
    <row r="40" spans="1:18" ht="25.5" customHeight="1">
      <c r="A40" s="391"/>
      <c r="B40" s="391"/>
      <c r="C40" s="391"/>
      <c r="D40" s="391"/>
      <c r="E40" s="391"/>
      <c r="F40" s="391"/>
      <c r="G40" s="391"/>
      <c r="H40" s="391"/>
      <c r="I40" s="391"/>
      <c r="J40" s="391"/>
      <c r="K40" s="391"/>
      <c r="L40" s="391"/>
      <c r="M40" s="391"/>
      <c r="N40" s="391"/>
      <c r="O40" s="391"/>
      <c r="P40" s="391"/>
      <c r="Q40" s="391"/>
    </row>
    <row r="41" spans="1:18" ht="25.5" customHeight="1">
      <c r="A41" s="391"/>
      <c r="B41" s="391"/>
      <c r="C41" s="391"/>
      <c r="D41" s="391"/>
      <c r="E41" s="391"/>
      <c r="F41" s="391"/>
      <c r="G41" s="391"/>
      <c r="H41" s="391"/>
      <c r="I41" s="391"/>
      <c r="J41" s="391"/>
      <c r="K41" s="391"/>
      <c r="L41" s="391"/>
      <c r="M41" s="391"/>
      <c r="N41" s="391"/>
      <c r="O41" s="391"/>
      <c r="P41" s="391"/>
      <c r="Q41" s="391"/>
    </row>
    <row r="42" spans="1:18" ht="25.5" customHeight="1">
      <c r="A42" s="391"/>
      <c r="B42" s="391"/>
      <c r="C42" s="391"/>
      <c r="D42" s="391"/>
      <c r="E42" s="391"/>
      <c r="F42" s="391"/>
      <c r="G42" s="391"/>
      <c r="H42" s="391"/>
      <c r="I42" s="391"/>
      <c r="J42" s="391"/>
      <c r="K42" s="391"/>
      <c r="L42" s="391"/>
      <c r="M42" s="391"/>
      <c r="N42" s="391"/>
      <c r="O42" s="391"/>
      <c r="P42" s="391"/>
      <c r="Q42" s="391"/>
    </row>
    <row r="43" spans="1:18" ht="25.5" customHeight="1">
      <c r="A43" s="391"/>
      <c r="B43" s="391"/>
      <c r="C43" s="391"/>
      <c r="D43" s="391"/>
      <c r="E43" s="391"/>
      <c r="F43" s="391"/>
      <c r="G43" s="391"/>
      <c r="H43" s="391"/>
      <c r="I43" s="391"/>
      <c r="J43" s="391"/>
      <c r="K43" s="391"/>
      <c r="L43" s="391"/>
      <c r="M43" s="391"/>
      <c r="N43" s="391"/>
      <c r="O43" s="391"/>
      <c r="P43" s="391"/>
      <c r="Q43" s="391"/>
    </row>
    <row r="44" spans="1:18" ht="25.5" customHeight="1">
      <c r="A44" s="391"/>
      <c r="B44" s="391"/>
      <c r="C44" s="391"/>
      <c r="D44" s="391"/>
      <c r="E44" s="391"/>
      <c r="F44" s="391"/>
      <c r="G44" s="391"/>
      <c r="H44" s="391"/>
      <c r="I44" s="391"/>
      <c r="J44" s="391"/>
      <c r="K44" s="391"/>
      <c r="L44" s="391"/>
      <c r="M44" s="391"/>
      <c r="N44" s="391"/>
      <c r="O44" s="391"/>
      <c r="P44" s="391"/>
      <c r="Q44" s="391"/>
    </row>
    <row r="45" spans="1:18" ht="25.5" customHeight="1">
      <c r="A45" s="391"/>
      <c r="B45" s="391"/>
      <c r="C45" s="391"/>
      <c r="D45" s="391"/>
      <c r="E45" s="391"/>
      <c r="F45" s="391"/>
      <c r="G45" s="391"/>
      <c r="H45" s="391"/>
      <c r="I45" s="391"/>
      <c r="J45" s="391"/>
      <c r="K45" s="391"/>
      <c r="L45" s="391"/>
      <c r="M45" s="391"/>
      <c r="N45" s="391"/>
      <c r="O45" s="391"/>
      <c r="P45" s="391"/>
      <c r="Q45" s="391"/>
    </row>
    <row r="46" spans="1:18" ht="25.5" customHeight="1">
      <c r="A46" s="391"/>
      <c r="B46" s="391"/>
      <c r="C46" s="391"/>
      <c r="D46" s="391"/>
      <c r="E46" s="391"/>
      <c r="F46" s="391"/>
      <c r="G46" s="391"/>
      <c r="H46" s="391"/>
      <c r="I46" s="391"/>
      <c r="J46" s="391"/>
      <c r="K46" s="391"/>
      <c r="L46" s="391"/>
      <c r="M46" s="391"/>
      <c r="N46" s="391"/>
      <c r="O46" s="391"/>
      <c r="P46" s="391"/>
      <c r="Q46" s="391"/>
      <c r="R46" s="307" t="s">
        <v>1</v>
      </c>
    </row>
    <row r="47" spans="1:18" ht="25.5" customHeight="1">
      <c r="A47" s="391"/>
      <c r="B47" s="391"/>
      <c r="C47" s="391"/>
      <c r="D47" s="391"/>
      <c r="E47" s="391"/>
      <c r="F47" s="391"/>
      <c r="G47" s="391"/>
      <c r="H47" s="391"/>
      <c r="I47" s="391"/>
      <c r="J47" s="391"/>
      <c r="K47" s="391"/>
      <c r="L47" s="391"/>
      <c r="M47" s="391"/>
      <c r="N47" s="391"/>
      <c r="O47" s="391"/>
      <c r="P47" s="391"/>
      <c r="Q47" s="391"/>
    </row>
    <row r="48" spans="1:18" ht="25.5" customHeight="1">
      <c r="A48" s="391"/>
      <c r="B48" s="391"/>
      <c r="C48" s="391"/>
      <c r="D48" s="391"/>
      <c r="E48" s="391"/>
      <c r="F48" s="391"/>
      <c r="G48" s="391"/>
      <c r="H48" s="391"/>
      <c r="I48" s="391"/>
      <c r="J48" s="391"/>
      <c r="K48" s="391"/>
      <c r="L48" s="391"/>
      <c r="M48" s="391"/>
      <c r="N48" s="391"/>
      <c r="O48" s="391"/>
      <c r="P48" s="391"/>
      <c r="Q48" s="391"/>
    </row>
    <row r="49" spans="1:19" ht="25.5" customHeight="1">
      <c r="A49" s="391"/>
      <c r="B49" s="391"/>
      <c r="C49" s="391"/>
      <c r="D49" s="391"/>
      <c r="E49" s="391"/>
      <c r="F49" s="391"/>
      <c r="G49" s="391"/>
      <c r="H49" s="391"/>
      <c r="I49" s="391"/>
      <c r="J49" s="391"/>
      <c r="K49" s="391"/>
      <c r="L49" s="391"/>
      <c r="M49" s="391"/>
      <c r="N49" s="391"/>
      <c r="O49" s="391"/>
      <c r="P49" s="391"/>
      <c r="Q49" s="391"/>
    </row>
    <row r="50" spans="1:19" ht="25.5" customHeight="1">
      <c r="A50" s="391"/>
      <c r="B50" s="391"/>
      <c r="C50" s="391"/>
      <c r="D50" s="391"/>
      <c r="E50" s="391"/>
      <c r="F50" s="391"/>
      <c r="G50" s="391"/>
      <c r="H50" s="391"/>
      <c r="I50" s="391"/>
      <c r="J50" s="391"/>
      <c r="K50" s="391"/>
      <c r="L50" s="391"/>
      <c r="M50" s="391"/>
      <c r="N50" s="391"/>
      <c r="O50" s="391"/>
      <c r="P50" s="391"/>
      <c r="Q50" s="391"/>
    </row>
    <row r="51" spans="1:19" ht="25.5" customHeight="1">
      <c r="A51" s="391"/>
      <c r="B51" s="391"/>
      <c r="C51" s="391"/>
      <c r="D51" s="391"/>
      <c r="E51" s="391"/>
      <c r="F51" s="391"/>
      <c r="G51" s="391"/>
      <c r="H51" s="391"/>
      <c r="I51" s="391"/>
      <c r="J51" s="391"/>
      <c r="K51" s="391"/>
      <c r="L51" s="391"/>
      <c r="M51" s="391"/>
      <c r="N51" s="391"/>
      <c r="O51" s="391"/>
      <c r="P51" s="391"/>
      <c r="Q51" s="391"/>
    </row>
    <row r="52" spans="1:19" ht="25.5" customHeight="1">
      <c r="A52" s="391"/>
      <c r="B52" s="391"/>
      <c r="C52" s="391"/>
      <c r="D52" s="391"/>
      <c r="E52" s="391"/>
      <c r="F52" s="391"/>
      <c r="G52" s="391"/>
      <c r="H52" s="391"/>
      <c r="I52" s="391"/>
      <c r="J52" s="391"/>
      <c r="K52" s="391"/>
      <c r="L52" s="391"/>
      <c r="M52" s="391"/>
      <c r="N52" s="391"/>
      <c r="O52" s="391"/>
      <c r="P52" s="391"/>
      <c r="Q52" s="391"/>
    </row>
    <row r="53" spans="1:19" ht="25.5" customHeight="1">
      <c r="A53" s="391"/>
      <c r="B53" s="391"/>
      <c r="C53" s="391"/>
      <c r="D53" s="391"/>
      <c r="E53" s="391"/>
      <c r="F53" s="391"/>
      <c r="G53" s="391"/>
      <c r="H53" s="391"/>
      <c r="I53" s="391"/>
      <c r="J53" s="391"/>
      <c r="K53" s="391"/>
      <c r="L53" s="391"/>
      <c r="M53" s="391"/>
      <c r="N53" s="391"/>
      <c r="O53" s="391"/>
      <c r="P53" s="391"/>
      <c r="Q53" s="391"/>
    </row>
    <row r="58" spans="1:19" ht="51" customHeight="1"/>
    <row r="59" spans="1:19" ht="78" customHeight="1">
      <c r="A59" s="2045"/>
      <c r="B59" s="2045"/>
      <c r="C59" s="2045"/>
      <c r="D59" s="2045"/>
      <c r="E59" s="2045"/>
      <c r="F59" s="2045"/>
      <c r="G59" s="2045"/>
      <c r="H59" s="2045"/>
      <c r="I59" s="2045"/>
      <c r="J59" s="2045"/>
      <c r="K59" s="2045"/>
      <c r="L59" s="2045"/>
      <c r="M59" s="2045"/>
      <c r="N59" s="2045"/>
      <c r="O59" s="2045"/>
      <c r="P59" s="2045"/>
      <c r="Q59" s="2045"/>
      <c r="R59" s="2045"/>
      <c r="S59" s="2045"/>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333" customWidth="1"/>
    <col min="2" max="2" width="20" style="333" customWidth="1"/>
    <col min="3" max="3" width="19.140625" style="333" customWidth="1"/>
    <col min="4" max="4" width="16.140625" style="333" customWidth="1"/>
    <col min="5" max="5" width="28.5703125" style="333" customWidth="1"/>
    <col min="6" max="6" width="87.28515625" style="333" customWidth="1"/>
    <col min="7" max="7" width="37.5703125" style="333" customWidth="1"/>
    <col min="8" max="8" width="75.28515625" style="333" customWidth="1"/>
    <col min="9" max="9" width="22.42578125" style="333" customWidth="1"/>
    <col min="10" max="10" width="51.28515625" style="333" customWidth="1"/>
    <col min="11" max="11" width="55.140625" style="333" customWidth="1"/>
    <col min="12" max="12" width="51.7109375" style="333" customWidth="1"/>
    <col min="13" max="13" width="69.42578125" style="333" customWidth="1"/>
    <col min="14" max="14" width="70" style="333" customWidth="1"/>
    <col min="15" max="33" width="11.42578125" style="333"/>
    <col min="34" max="43" width="135.7109375" style="333" customWidth="1"/>
    <col min="44" max="16384" width="11.42578125" style="333"/>
  </cols>
  <sheetData>
    <row r="1" spans="1:45" ht="235.5" customHeight="1">
      <c r="A1" s="2054"/>
      <c r="B1" s="2054"/>
      <c r="C1" s="2054"/>
      <c r="D1" s="2054"/>
      <c r="E1" s="2054"/>
      <c r="F1" s="2054"/>
      <c r="G1" s="2054"/>
      <c r="H1" s="2054"/>
      <c r="I1" s="2054"/>
      <c r="J1" s="2054"/>
      <c r="K1" s="2054"/>
      <c r="L1" s="2054"/>
      <c r="M1" s="2054"/>
      <c r="N1" s="2054"/>
    </row>
    <row r="2" spans="1:45" ht="3" hidden="1" customHeight="1">
      <c r="B2" s="468"/>
      <c r="C2" s="468"/>
      <c r="D2" s="468"/>
      <c r="E2" s="468"/>
      <c r="F2" s="468"/>
      <c r="G2" s="468"/>
      <c r="H2" s="468"/>
      <c r="I2" s="468"/>
      <c r="J2" s="468"/>
      <c r="K2" s="468"/>
      <c r="L2" s="468"/>
      <c r="M2" s="468"/>
      <c r="N2" s="468"/>
    </row>
    <row r="3" spans="1:45" ht="186.75" customHeight="1">
      <c r="A3" s="2052" t="s">
        <v>363</v>
      </c>
      <c r="B3" s="2053"/>
      <c r="C3" s="2053"/>
      <c r="D3" s="2053"/>
      <c r="E3" s="2053"/>
      <c r="F3" s="2053"/>
      <c r="G3" s="2053"/>
      <c r="H3" s="2053"/>
      <c r="I3" s="2053"/>
      <c r="J3" s="2053"/>
      <c r="K3" s="2053"/>
      <c r="L3" s="2053"/>
      <c r="M3" s="2053"/>
      <c r="N3" s="2053"/>
    </row>
    <row r="4" spans="1:45" ht="186.75" customHeight="1">
      <c r="A4" s="2053"/>
      <c r="B4" s="2053"/>
      <c r="C4" s="2053"/>
      <c r="D4" s="2053"/>
      <c r="E4" s="2053"/>
      <c r="F4" s="2053"/>
      <c r="G4" s="2053"/>
      <c r="H4" s="2053"/>
      <c r="I4" s="2053"/>
      <c r="J4" s="2053"/>
      <c r="K4" s="2053"/>
      <c r="L4" s="2053"/>
      <c r="M4" s="2053"/>
      <c r="N4" s="2053"/>
      <c r="AF4" s="2055" t="s">
        <v>364</v>
      </c>
      <c r="AG4" s="2055"/>
      <c r="AH4" s="2055"/>
      <c r="AI4" s="2055"/>
      <c r="AJ4" s="2055"/>
      <c r="AK4" s="2055"/>
      <c r="AL4" s="2055"/>
      <c r="AM4" s="2055"/>
      <c r="AN4" s="2055"/>
      <c r="AO4" s="2055"/>
      <c r="AP4" s="2055"/>
      <c r="AQ4" s="2055"/>
      <c r="AR4" s="2055"/>
      <c r="AS4" s="2055"/>
    </row>
    <row r="5" spans="1:45" ht="186.75" customHeight="1">
      <c r="A5" s="2053"/>
      <c r="B5" s="2053"/>
      <c r="C5" s="2053"/>
      <c r="D5" s="2053"/>
      <c r="E5" s="2053"/>
      <c r="F5" s="2053"/>
      <c r="G5" s="2053"/>
      <c r="H5" s="2053"/>
      <c r="I5" s="2053"/>
      <c r="J5" s="2053"/>
      <c r="K5" s="2053"/>
      <c r="L5" s="2053"/>
      <c r="M5" s="2053"/>
      <c r="N5" s="2053"/>
      <c r="AF5" s="2055"/>
      <c r="AG5" s="2055"/>
      <c r="AH5" s="2055"/>
      <c r="AI5" s="2055"/>
      <c r="AJ5" s="2055"/>
      <c r="AK5" s="2055"/>
      <c r="AL5" s="2055"/>
      <c r="AM5" s="2055"/>
      <c r="AN5" s="2055"/>
      <c r="AO5" s="2055"/>
      <c r="AP5" s="2055"/>
      <c r="AQ5" s="2055"/>
      <c r="AR5" s="2055"/>
      <c r="AS5" s="2055"/>
    </row>
    <row r="6" spans="1:45" ht="408.75" customHeight="1">
      <c r="A6" s="2053"/>
      <c r="B6" s="2053"/>
      <c r="C6" s="2053"/>
      <c r="D6" s="2053"/>
      <c r="E6" s="2053"/>
      <c r="F6" s="2053"/>
      <c r="G6" s="2053"/>
      <c r="H6" s="2053"/>
      <c r="I6" s="2053"/>
      <c r="J6" s="2053"/>
      <c r="K6" s="2053"/>
      <c r="L6" s="2053"/>
      <c r="M6" s="2053"/>
      <c r="N6" s="2053"/>
      <c r="AF6" s="2055"/>
      <c r="AG6" s="2055"/>
      <c r="AH6" s="2055"/>
      <c r="AI6" s="2055"/>
      <c r="AJ6" s="2055"/>
      <c r="AK6" s="2055"/>
      <c r="AL6" s="2055"/>
      <c r="AM6" s="2055"/>
      <c r="AN6" s="2055"/>
      <c r="AO6" s="2055"/>
      <c r="AP6" s="2055"/>
      <c r="AQ6" s="2055"/>
      <c r="AR6" s="2055"/>
      <c r="AS6" s="2055"/>
    </row>
    <row r="7" spans="1:45" ht="408.75" customHeight="1">
      <c r="A7" s="2053"/>
      <c r="B7" s="2053"/>
      <c r="C7" s="2053"/>
      <c r="D7" s="2053"/>
      <c r="E7" s="2053"/>
      <c r="F7" s="2053"/>
      <c r="G7" s="2053"/>
      <c r="H7" s="2053"/>
      <c r="I7" s="2053"/>
      <c r="J7" s="2053"/>
      <c r="K7" s="2053"/>
      <c r="L7" s="2053"/>
      <c r="M7" s="2053"/>
      <c r="N7" s="2053"/>
      <c r="AF7" s="2055"/>
      <c r="AG7" s="2055"/>
      <c r="AH7" s="2055"/>
      <c r="AI7" s="2055"/>
      <c r="AJ7" s="2055"/>
      <c r="AK7" s="2055"/>
      <c r="AL7" s="2055"/>
      <c r="AM7" s="2055"/>
      <c r="AN7" s="2055"/>
      <c r="AO7" s="2055"/>
      <c r="AP7" s="2055"/>
      <c r="AQ7" s="2055"/>
      <c r="AR7" s="2055"/>
      <c r="AS7" s="2055"/>
    </row>
    <row r="8" spans="1:45" ht="409.5" customHeight="1">
      <c r="A8" s="2053"/>
      <c r="B8" s="2053"/>
      <c r="C8" s="2053"/>
      <c r="D8" s="2053"/>
      <c r="E8" s="2053"/>
      <c r="F8" s="2053"/>
      <c r="G8" s="2053"/>
      <c r="H8" s="2053"/>
      <c r="I8" s="2053"/>
      <c r="J8" s="2053"/>
      <c r="K8" s="2053"/>
      <c r="L8" s="2053"/>
      <c r="M8" s="2053"/>
      <c r="N8" s="2053"/>
      <c r="AF8" s="2055"/>
      <c r="AG8" s="2055"/>
      <c r="AH8" s="2055"/>
      <c r="AI8" s="2055"/>
      <c r="AJ8" s="2055"/>
      <c r="AK8" s="2055"/>
      <c r="AL8" s="2055"/>
      <c r="AM8" s="2055"/>
      <c r="AN8" s="2055"/>
      <c r="AO8" s="2055"/>
      <c r="AP8" s="2055"/>
      <c r="AQ8" s="2055"/>
      <c r="AR8" s="2055"/>
      <c r="AS8" s="2055"/>
    </row>
    <row r="9" spans="1:45" ht="409.5" customHeight="1">
      <c r="A9" s="2053"/>
      <c r="B9" s="2053"/>
      <c r="C9" s="2053"/>
      <c r="D9" s="2053"/>
      <c r="E9" s="2053"/>
      <c r="F9" s="2053"/>
      <c r="G9" s="2053"/>
      <c r="H9" s="2053"/>
      <c r="I9" s="2053"/>
      <c r="J9" s="2053"/>
      <c r="K9" s="2053"/>
      <c r="L9" s="2053"/>
      <c r="M9" s="2053"/>
      <c r="N9" s="2053"/>
      <c r="AF9" s="2055"/>
      <c r="AG9" s="2055"/>
      <c r="AH9" s="2055"/>
      <c r="AI9" s="2055"/>
      <c r="AJ9" s="2055"/>
      <c r="AK9" s="2055"/>
      <c r="AL9" s="2055"/>
      <c r="AM9" s="2055"/>
      <c r="AN9" s="2055"/>
      <c r="AO9" s="2055"/>
      <c r="AP9" s="2055"/>
      <c r="AQ9" s="2055"/>
      <c r="AR9" s="2055"/>
      <c r="AS9" s="2055"/>
    </row>
    <row r="10" spans="1:45" ht="322.5" customHeight="1">
      <c r="A10" s="2053"/>
      <c r="B10" s="2053"/>
      <c r="C10" s="2053"/>
      <c r="D10" s="2053"/>
      <c r="E10" s="2053"/>
      <c r="F10" s="2053"/>
      <c r="G10" s="2053"/>
      <c r="H10" s="2053"/>
      <c r="I10" s="2053"/>
      <c r="J10" s="2053"/>
      <c r="K10" s="2053"/>
      <c r="L10" s="2053"/>
      <c r="M10" s="2053"/>
      <c r="N10" s="2053"/>
      <c r="AF10" s="2055"/>
      <c r="AG10" s="2055"/>
      <c r="AH10" s="2055"/>
      <c r="AI10" s="2055"/>
      <c r="AJ10" s="2055"/>
      <c r="AK10" s="2055"/>
      <c r="AL10" s="2055"/>
      <c r="AM10" s="2055"/>
      <c r="AN10" s="2055"/>
      <c r="AO10" s="2055"/>
      <c r="AP10" s="2055"/>
      <c r="AQ10" s="2055"/>
      <c r="AR10" s="2055"/>
      <c r="AS10" s="2055"/>
    </row>
    <row r="11" spans="1:45" ht="211.5" customHeight="1">
      <c r="A11" s="2053"/>
      <c r="B11" s="2053"/>
      <c r="C11" s="2053"/>
      <c r="D11" s="2053"/>
      <c r="E11" s="2053"/>
      <c r="F11" s="2053"/>
      <c r="G11" s="2053"/>
      <c r="H11" s="2053"/>
      <c r="I11" s="2053"/>
      <c r="J11" s="2053"/>
      <c r="K11" s="2053"/>
      <c r="L11" s="2053"/>
      <c r="M11" s="2053"/>
      <c r="N11" s="2053"/>
      <c r="AF11" s="2055"/>
      <c r="AG11" s="2055"/>
      <c r="AH11" s="2055"/>
      <c r="AI11" s="2055"/>
      <c r="AJ11" s="2055"/>
      <c r="AK11" s="2055"/>
      <c r="AL11" s="2055"/>
      <c r="AM11" s="2055"/>
      <c r="AN11" s="2055"/>
      <c r="AO11" s="2055"/>
      <c r="AP11" s="2055"/>
      <c r="AQ11" s="2055"/>
      <c r="AR11" s="2055"/>
      <c r="AS11" s="2055"/>
    </row>
    <row r="12" spans="1:45" ht="211.5" customHeight="1">
      <c r="A12" s="2053"/>
      <c r="B12" s="2053"/>
      <c r="C12" s="2053"/>
      <c r="D12" s="2053"/>
      <c r="E12" s="2053"/>
      <c r="F12" s="2053"/>
      <c r="G12" s="2053"/>
      <c r="H12" s="2053"/>
      <c r="I12" s="2053"/>
      <c r="J12" s="2053"/>
      <c r="K12" s="2053"/>
      <c r="L12" s="2053"/>
      <c r="M12" s="2053"/>
      <c r="N12" s="2053"/>
      <c r="AF12" s="2055"/>
      <c r="AG12" s="2055"/>
      <c r="AH12" s="2055"/>
      <c r="AI12" s="2055"/>
      <c r="AJ12" s="2055"/>
      <c r="AK12" s="2055"/>
      <c r="AL12" s="2055"/>
      <c r="AM12" s="2055"/>
      <c r="AN12" s="2055"/>
      <c r="AO12" s="2055"/>
      <c r="AP12" s="2055"/>
      <c r="AQ12" s="2055"/>
      <c r="AR12" s="2055"/>
      <c r="AS12" s="2055"/>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
    <tabColor theme="2" tint="-0.499984740745262"/>
    <pageSetUpPr fitToPage="1"/>
  </sheetPr>
  <dimension ref="A1:S39"/>
  <sheetViews>
    <sheetView showGridLines="0" view="pageBreakPreview" zoomScale="70" zoomScaleNormal="70" zoomScaleSheetLayoutView="70" workbookViewId="0">
      <selection activeCell="Q11" sqref="Q11"/>
    </sheetView>
  </sheetViews>
  <sheetFormatPr defaultColWidth="11.42578125" defaultRowHeight="14.25"/>
  <cols>
    <col min="1" max="6" width="11.42578125" style="307"/>
    <col min="7" max="7" width="11.42578125" style="307" customWidth="1"/>
    <col min="8" max="8" width="28.140625" style="307" customWidth="1"/>
    <col min="9" max="9" width="20.42578125" style="307" customWidth="1"/>
    <col min="10" max="11" width="14.7109375" style="307" customWidth="1"/>
    <col min="12" max="12" width="12.42578125" style="307" customWidth="1"/>
    <col min="13" max="16384" width="11.42578125" style="307"/>
  </cols>
  <sheetData>
    <row r="1" spans="1:12">
      <c r="A1" s="2051"/>
      <c r="B1" s="2051"/>
      <c r="C1" s="2051"/>
      <c r="D1" s="2051"/>
      <c r="E1" s="2051"/>
      <c r="F1" s="2051"/>
      <c r="G1" s="2051"/>
      <c r="H1" s="2051"/>
      <c r="I1" s="2051"/>
      <c r="J1" s="2051"/>
      <c r="K1" s="2051"/>
      <c r="L1" s="2051"/>
    </row>
    <row r="2" spans="1:12">
      <c r="A2" s="2051"/>
      <c r="B2" s="2051"/>
      <c r="C2" s="2051"/>
      <c r="D2" s="2051"/>
      <c r="E2" s="2051"/>
      <c r="F2" s="2051"/>
      <c r="G2" s="2051"/>
      <c r="H2" s="2051"/>
      <c r="I2" s="2051"/>
      <c r="J2" s="2051"/>
      <c r="K2" s="2051"/>
      <c r="L2" s="2051"/>
    </row>
    <row r="3" spans="1:12">
      <c r="A3" s="2051"/>
      <c r="B3" s="2051"/>
      <c r="C3" s="2051"/>
      <c r="D3" s="2051"/>
      <c r="E3" s="2051"/>
      <c r="F3" s="2051"/>
      <c r="G3" s="2051"/>
      <c r="H3" s="2051"/>
      <c r="I3" s="2051"/>
      <c r="J3" s="2051"/>
      <c r="K3" s="2051"/>
      <c r="L3" s="2051"/>
    </row>
    <row r="4" spans="1:12">
      <c r="A4" s="2051"/>
      <c r="B4" s="2051"/>
      <c r="C4" s="2051"/>
      <c r="D4" s="2051"/>
      <c r="E4" s="2051"/>
      <c r="F4" s="2051"/>
      <c r="G4" s="2051"/>
      <c r="H4" s="2051"/>
      <c r="I4" s="2051"/>
      <c r="J4" s="2051"/>
      <c r="K4" s="2051"/>
      <c r="L4" s="2051"/>
    </row>
    <row r="5" spans="1:12">
      <c r="A5" s="2051"/>
      <c r="B5" s="2051"/>
      <c r="C5" s="2051"/>
      <c r="D5" s="2051"/>
      <c r="E5" s="2051"/>
      <c r="F5" s="2051"/>
      <c r="G5" s="2051"/>
      <c r="H5" s="2051"/>
      <c r="I5" s="2051"/>
      <c r="J5" s="2051"/>
      <c r="K5" s="2051"/>
      <c r="L5" s="2051"/>
    </row>
    <row r="6" spans="1:12">
      <c r="A6" s="2051"/>
      <c r="B6" s="2051"/>
      <c r="C6" s="2051"/>
      <c r="D6" s="2051"/>
      <c r="E6" s="2051"/>
      <c r="F6" s="2051"/>
      <c r="G6" s="2051"/>
      <c r="H6" s="2051"/>
      <c r="I6" s="2051"/>
      <c r="J6" s="2051"/>
      <c r="K6" s="2051"/>
      <c r="L6" s="2051"/>
    </row>
    <row r="7" spans="1:12" ht="47.25" customHeight="1">
      <c r="A7" s="2051"/>
      <c r="B7" s="2051"/>
      <c r="C7" s="2051"/>
      <c r="D7" s="2051"/>
      <c r="E7" s="2051"/>
      <c r="F7" s="2051"/>
      <c r="G7" s="2051"/>
      <c r="H7" s="2051"/>
      <c r="I7" s="2051"/>
      <c r="J7" s="2051"/>
      <c r="K7" s="2051"/>
      <c r="L7" s="2051"/>
    </row>
    <row r="8" spans="1:12">
      <c r="A8" s="2051"/>
      <c r="B8" s="2051"/>
      <c r="C8" s="2051"/>
      <c r="D8" s="2051"/>
      <c r="E8" s="2051"/>
      <c r="F8" s="2051"/>
      <c r="G8" s="2051"/>
      <c r="H8" s="2051"/>
      <c r="I8" s="2051"/>
      <c r="J8" s="2051"/>
      <c r="K8" s="2051"/>
      <c r="L8" s="2051"/>
    </row>
    <row r="9" spans="1:12">
      <c r="A9" s="2051"/>
      <c r="B9" s="2051"/>
      <c r="C9" s="2051"/>
      <c r="D9" s="2051"/>
      <c r="E9" s="2051"/>
      <c r="F9" s="2051"/>
      <c r="G9" s="2051"/>
      <c r="H9" s="2051"/>
      <c r="I9" s="2051"/>
      <c r="J9" s="2051"/>
      <c r="K9" s="2051"/>
      <c r="L9" s="2051"/>
    </row>
    <row r="10" spans="1:12" ht="23.25" customHeight="1">
      <c r="A10" s="2051"/>
      <c r="B10" s="2051"/>
      <c r="C10" s="2051"/>
      <c r="D10" s="2051"/>
      <c r="E10" s="2051"/>
      <c r="F10" s="2051"/>
      <c r="G10" s="2051"/>
      <c r="H10" s="2051"/>
      <c r="I10" s="2051"/>
      <c r="J10" s="2051"/>
      <c r="K10" s="2051"/>
      <c r="L10" s="2051"/>
    </row>
    <row r="11" spans="1:12">
      <c r="A11" s="2051"/>
      <c r="B11" s="2051"/>
      <c r="C11" s="2051"/>
      <c r="D11" s="2051"/>
      <c r="E11" s="2051"/>
      <c r="F11" s="2051"/>
      <c r="G11" s="2051"/>
      <c r="H11" s="2051"/>
      <c r="I11" s="2051"/>
      <c r="J11" s="2051"/>
      <c r="K11" s="2051"/>
      <c r="L11" s="2051"/>
    </row>
    <row r="12" spans="1:12">
      <c r="A12" s="2051"/>
      <c r="B12" s="2051"/>
      <c r="C12" s="2051"/>
      <c r="D12" s="2051"/>
      <c r="E12" s="2051"/>
      <c r="F12" s="2051"/>
      <c r="G12" s="2051"/>
      <c r="H12" s="2051"/>
      <c r="I12" s="2051"/>
      <c r="J12" s="2051"/>
      <c r="K12" s="2051"/>
      <c r="L12" s="2051"/>
    </row>
    <row r="13" spans="1:12">
      <c r="A13" s="2051"/>
      <c r="B13" s="2051"/>
      <c r="C13" s="2051"/>
      <c r="D13" s="2051"/>
      <c r="E13" s="2051"/>
      <c r="F13" s="2051"/>
      <c r="G13" s="2051"/>
      <c r="H13" s="2051"/>
      <c r="I13" s="2051"/>
      <c r="J13" s="2051"/>
      <c r="K13" s="2051"/>
      <c r="L13" s="2051"/>
    </row>
    <row r="14" spans="1:12">
      <c r="A14" s="2051"/>
      <c r="B14" s="2051"/>
      <c r="C14" s="2051"/>
      <c r="D14" s="2051"/>
      <c r="E14" s="2051"/>
      <c r="F14" s="2051"/>
      <c r="G14" s="2051"/>
      <c r="H14" s="2051"/>
      <c r="I14" s="2051"/>
      <c r="J14" s="2051"/>
      <c r="K14" s="2051"/>
      <c r="L14" s="2051"/>
    </row>
    <row r="15" spans="1:12">
      <c r="A15" s="2051"/>
      <c r="B15" s="2051"/>
      <c r="C15" s="2051"/>
      <c r="D15" s="2051"/>
      <c r="E15" s="2051"/>
      <c r="F15" s="2051"/>
      <c r="G15" s="2051"/>
      <c r="H15" s="2051"/>
      <c r="I15" s="2051"/>
      <c r="J15" s="2051"/>
      <c r="K15" s="2051"/>
      <c r="L15" s="2051"/>
    </row>
    <row r="16" spans="1:12">
      <c r="A16" s="2051"/>
      <c r="B16" s="2051"/>
      <c r="C16" s="2051"/>
      <c r="D16" s="2051"/>
      <c r="E16" s="2051"/>
      <c r="F16" s="2051"/>
      <c r="G16" s="2051"/>
      <c r="H16" s="2051"/>
      <c r="I16" s="2051"/>
      <c r="J16" s="2051"/>
      <c r="K16" s="2051"/>
      <c r="L16" s="2051"/>
    </row>
    <row r="17" spans="1:19">
      <c r="A17" s="2051"/>
      <c r="B17" s="2051"/>
      <c r="C17" s="2051"/>
      <c r="D17" s="2051"/>
      <c r="E17" s="2051"/>
      <c r="F17" s="2051"/>
      <c r="G17" s="2051"/>
      <c r="H17" s="2051"/>
      <c r="I17" s="2051"/>
      <c r="J17" s="2051"/>
      <c r="K17" s="2051"/>
      <c r="L17" s="2051"/>
    </row>
    <row r="18" spans="1:19">
      <c r="A18" s="2051"/>
      <c r="B18" s="2051"/>
      <c r="C18" s="2051"/>
      <c r="D18" s="2051"/>
      <c r="E18" s="2051"/>
      <c r="F18" s="2051"/>
      <c r="G18" s="2051"/>
      <c r="H18" s="2051"/>
      <c r="I18" s="2051"/>
      <c r="J18" s="2051"/>
      <c r="K18" s="2051"/>
      <c r="L18" s="2051"/>
    </row>
    <row r="19" spans="1:19">
      <c r="A19" s="2051"/>
      <c r="B19" s="2051"/>
      <c r="C19" s="2051"/>
      <c r="D19" s="2051"/>
      <c r="E19" s="2051"/>
      <c r="F19" s="2051"/>
      <c r="G19" s="2051"/>
      <c r="H19" s="2051"/>
      <c r="I19" s="2051"/>
      <c r="J19" s="2051"/>
      <c r="K19" s="2051"/>
      <c r="L19" s="2051"/>
    </row>
    <row r="20" spans="1:19">
      <c r="A20" s="2051"/>
      <c r="B20" s="2051"/>
      <c r="C20" s="2051"/>
      <c r="D20" s="2051"/>
      <c r="E20" s="2051"/>
      <c r="F20" s="2051"/>
      <c r="G20" s="2051"/>
      <c r="H20" s="2051"/>
      <c r="I20" s="2051"/>
      <c r="J20" s="2051"/>
      <c r="K20" s="2051"/>
      <c r="L20" s="2051"/>
    </row>
    <row r="21" spans="1:19">
      <c r="A21" s="2051"/>
      <c r="B21" s="2051"/>
      <c r="C21" s="2051"/>
      <c r="D21" s="2051"/>
      <c r="E21" s="2051"/>
      <c r="F21" s="2051"/>
      <c r="G21" s="2051"/>
      <c r="H21" s="2051"/>
      <c r="I21" s="2051"/>
      <c r="J21" s="2051"/>
      <c r="K21" s="2051"/>
      <c r="L21" s="2051"/>
    </row>
    <row r="22" spans="1:19">
      <c r="A22" s="2051"/>
      <c r="B22" s="2051"/>
      <c r="C22" s="2051"/>
      <c r="D22" s="2051"/>
      <c r="E22" s="2051"/>
      <c r="F22" s="2051"/>
      <c r="G22" s="2051"/>
      <c r="H22" s="2051"/>
      <c r="I22" s="2051"/>
      <c r="J22" s="2051"/>
      <c r="K22" s="2051"/>
      <c r="L22" s="2051"/>
    </row>
    <row r="23" spans="1:19" ht="27">
      <c r="A23" s="2051"/>
      <c r="B23" s="2051"/>
      <c r="C23" s="2051"/>
      <c r="D23" s="2051"/>
      <c r="E23" s="2051"/>
      <c r="F23" s="2051"/>
      <c r="G23" s="2051"/>
      <c r="H23" s="2051"/>
      <c r="I23" s="2051"/>
      <c r="J23" s="2051"/>
      <c r="K23" s="2051"/>
      <c r="L23" s="2051"/>
      <c r="S23" s="446"/>
    </row>
    <row r="24" spans="1:19">
      <c r="A24" s="2051"/>
      <c r="B24" s="2051"/>
      <c r="C24" s="2051"/>
      <c r="D24" s="2051"/>
      <c r="E24" s="2051"/>
      <c r="F24" s="2051"/>
      <c r="G24" s="2051"/>
      <c r="H24" s="2051"/>
      <c r="I24" s="2051"/>
      <c r="J24" s="2051"/>
      <c r="K24" s="2051"/>
      <c r="L24" s="2051"/>
    </row>
    <row r="25" spans="1:19">
      <c r="A25" s="2051"/>
      <c r="B25" s="2051"/>
      <c r="C25" s="2051"/>
      <c r="D25" s="2051"/>
      <c r="E25" s="2051"/>
      <c r="F25" s="2051"/>
      <c r="G25" s="2051"/>
      <c r="H25" s="2051"/>
      <c r="I25" s="2051"/>
      <c r="J25" s="2051"/>
      <c r="K25" s="2051"/>
      <c r="L25" s="2051"/>
    </row>
    <row r="26" spans="1:19">
      <c r="A26" s="2051"/>
      <c r="B26" s="2051"/>
      <c r="C26" s="2051"/>
      <c r="D26" s="2051"/>
      <c r="E26" s="2051"/>
      <c r="F26" s="2051"/>
      <c r="G26" s="2051"/>
      <c r="H26" s="2051"/>
      <c r="I26" s="2051"/>
      <c r="J26" s="2051"/>
      <c r="K26" s="2051"/>
      <c r="L26" s="2051"/>
    </row>
    <row r="27" spans="1:19">
      <c r="A27" s="2051"/>
      <c r="B27" s="2051"/>
      <c r="C27" s="2051"/>
      <c r="D27" s="2051"/>
      <c r="E27" s="2051"/>
      <c r="F27" s="2051"/>
      <c r="G27" s="2051"/>
      <c r="H27" s="2051"/>
      <c r="I27" s="2051"/>
      <c r="J27" s="2051"/>
      <c r="K27" s="2051"/>
      <c r="L27" s="2051"/>
    </row>
    <row r="28" spans="1:19">
      <c r="A28" s="2051"/>
      <c r="B28" s="2051"/>
      <c r="C28" s="2051"/>
      <c r="D28" s="2051"/>
      <c r="E28" s="2051"/>
      <c r="F28" s="2051"/>
      <c r="G28" s="2051"/>
      <c r="H28" s="2051"/>
      <c r="I28" s="2051"/>
      <c r="J28" s="2051"/>
      <c r="K28" s="2051"/>
      <c r="L28" s="2051"/>
    </row>
    <row r="29" spans="1:19">
      <c r="A29" s="2051"/>
      <c r="B29" s="2051"/>
      <c r="C29" s="2051"/>
      <c r="D29" s="2051"/>
      <c r="E29" s="2051"/>
      <c r="F29" s="2051"/>
      <c r="G29" s="2051"/>
      <c r="H29" s="2051"/>
      <c r="I29" s="2051"/>
      <c r="J29" s="2051"/>
      <c r="K29" s="2051"/>
      <c r="L29" s="2051"/>
    </row>
    <row r="30" spans="1:19">
      <c r="A30" s="2051"/>
      <c r="B30" s="2051"/>
      <c r="C30" s="2051"/>
      <c r="D30" s="2051"/>
      <c r="E30" s="2051"/>
      <c r="F30" s="2051"/>
      <c r="G30" s="2051"/>
      <c r="H30" s="2051"/>
      <c r="I30" s="2051"/>
      <c r="J30" s="2051"/>
      <c r="K30" s="2051"/>
      <c r="L30" s="2051"/>
    </row>
    <row r="31" spans="1:19">
      <c r="A31" s="2051"/>
      <c r="B31" s="2051"/>
      <c r="C31" s="2051"/>
      <c r="D31" s="2051"/>
      <c r="E31" s="2051"/>
      <c r="F31" s="2051"/>
      <c r="G31" s="2051"/>
      <c r="H31" s="2051"/>
      <c r="I31" s="2051"/>
      <c r="J31" s="2051"/>
      <c r="K31" s="2051"/>
      <c r="L31" s="2051"/>
    </row>
    <row r="32" spans="1:19">
      <c r="A32" s="2051"/>
      <c r="B32" s="2051"/>
      <c r="C32" s="2051"/>
      <c r="D32" s="2051"/>
      <c r="E32" s="2051"/>
      <c r="F32" s="2051"/>
      <c r="G32" s="2051"/>
      <c r="H32" s="2051"/>
      <c r="I32" s="2051"/>
      <c r="J32" s="2051"/>
      <c r="K32" s="2051"/>
      <c r="L32" s="2051"/>
    </row>
    <row r="33" spans="1:12">
      <c r="A33" s="2051"/>
      <c r="B33" s="2051"/>
      <c r="C33" s="2051"/>
      <c r="D33" s="2051"/>
      <c r="E33" s="2051"/>
      <c r="F33" s="2051"/>
      <c r="G33" s="2051"/>
      <c r="H33" s="2051"/>
      <c r="I33" s="2051"/>
      <c r="J33" s="2051"/>
      <c r="K33" s="2051"/>
      <c r="L33" s="2051"/>
    </row>
    <row r="34" spans="1:12">
      <c r="A34" s="2051"/>
      <c r="B34" s="2051"/>
      <c r="C34" s="2051"/>
      <c r="D34" s="2051"/>
      <c r="E34" s="2051"/>
      <c r="F34" s="2051"/>
      <c r="G34" s="2051"/>
      <c r="H34" s="2051"/>
      <c r="I34" s="2051"/>
      <c r="J34" s="2051"/>
      <c r="K34" s="2051"/>
      <c r="L34" s="2051"/>
    </row>
    <row r="35" spans="1:12">
      <c r="A35" s="2051"/>
      <c r="B35" s="2051"/>
      <c r="C35" s="2051"/>
      <c r="D35" s="2051"/>
      <c r="E35" s="2051"/>
      <c r="F35" s="2051"/>
      <c r="G35" s="2051"/>
      <c r="H35" s="2051"/>
      <c r="I35" s="2051"/>
      <c r="J35" s="2051"/>
      <c r="K35" s="2051"/>
      <c r="L35" s="2051"/>
    </row>
    <row r="36" spans="1:12">
      <c r="A36" s="2051"/>
      <c r="B36" s="2051"/>
      <c r="C36" s="2051"/>
      <c r="D36" s="2051"/>
      <c r="E36" s="2051"/>
      <c r="F36" s="2051"/>
      <c r="G36" s="2051"/>
      <c r="H36" s="2051"/>
      <c r="I36" s="2051"/>
      <c r="J36" s="2051"/>
      <c r="K36" s="2051"/>
      <c r="L36" s="2051"/>
    </row>
    <row r="37" spans="1:12">
      <c r="A37" s="2051"/>
      <c r="B37" s="2051"/>
      <c r="C37" s="2051"/>
      <c r="D37" s="2051"/>
      <c r="E37" s="2051"/>
      <c r="F37" s="2051"/>
      <c r="G37" s="2051"/>
      <c r="H37" s="2051"/>
      <c r="I37" s="2051"/>
      <c r="J37" s="2051"/>
      <c r="K37" s="2051"/>
      <c r="L37" s="2051"/>
    </row>
    <row r="38" spans="1:12">
      <c r="A38" s="2051"/>
      <c r="B38" s="2051"/>
      <c r="C38" s="2051"/>
      <c r="D38" s="2051"/>
      <c r="E38" s="2051"/>
      <c r="F38" s="2051"/>
      <c r="G38" s="2051"/>
      <c r="H38" s="2051"/>
      <c r="I38" s="2051"/>
      <c r="J38" s="2051"/>
      <c r="K38" s="2051"/>
      <c r="L38" s="2051"/>
    </row>
    <row r="39" spans="1:12">
      <c r="A39" s="2051"/>
      <c r="B39" s="2051"/>
      <c r="C39" s="2051"/>
      <c r="D39" s="2051"/>
      <c r="E39" s="2051"/>
      <c r="F39" s="2051"/>
      <c r="G39" s="2051"/>
      <c r="H39" s="2051"/>
      <c r="I39" s="2051"/>
      <c r="J39" s="2051"/>
      <c r="K39" s="2051"/>
      <c r="L39" s="2051"/>
    </row>
  </sheetData>
  <mergeCells count="1">
    <mergeCell ref="A1:L39"/>
  </mergeCells>
  <pageMargins left="0.70866141732283472" right="0.70866141732283472" top="0.74803149606299213" bottom="0.74803149606299213" header="0.31496062992125984" footer="0.31496062992125984"/>
  <pageSetup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
    <tabColor theme="2" tint="-0.499984740745262"/>
    <pageSetUpPr fitToPage="1"/>
  </sheetPr>
  <dimension ref="A1"/>
  <sheetViews>
    <sheetView showGridLines="0" view="pageBreakPreview" zoomScale="55" zoomScaleNormal="100" zoomScaleSheetLayoutView="55" workbookViewId="0">
      <selection activeCell="P46" sqref="P46"/>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P31" sqref="P31"/>
    </sheetView>
  </sheetViews>
  <sheetFormatPr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81" customWidth="1"/>
    <col min="2" max="2" width="54.28515625" style="178" customWidth="1"/>
    <col min="3" max="3" width="23.7109375" style="178" customWidth="1"/>
    <col min="4" max="4" width="24.7109375" style="182" customWidth="1"/>
    <col min="5" max="16384" width="11.42578125" style="178"/>
  </cols>
  <sheetData>
    <row r="1" spans="1:4" ht="31.5">
      <c r="A1" s="1974" t="s">
        <v>2</v>
      </c>
      <c r="B1" s="1974"/>
      <c r="C1" s="1974"/>
      <c r="D1" s="1974"/>
    </row>
    <row r="2" spans="1:4" ht="24" thickBot="1">
      <c r="A2" s="1975" t="s">
        <v>3</v>
      </c>
      <c r="B2" s="1975"/>
      <c r="C2" s="1975"/>
      <c r="D2" s="1975"/>
    </row>
    <row r="3" spans="1:4" s="183" customFormat="1" ht="60" customHeight="1" thickBot="1">
      <c r="A3" s="218" t="s">
        <v>4</v>
      </c>
      <c r="B3" s="219" t="s">
        <v>5</v>
      </c>
      <c r="C3" s="218" t="s">
        <v>6</v>
      </c>
      <c r="D3" s="220" t="s">
        <v>7</v>
      </c>
    </row>
    <row r="4" spans="1:4" ht="15.75">
      <c r="A4" s="1965">
        <v>1</v>
      </c>
      <c r="B4" s="725" t="s">
        <v>8</v>
      </c>
      <c r="C4" s="1968" t="s">
        <v>9</v>
      </c>
      <c r="D4" s="1971">
        <f>1/12</f>
        <v>8.3333333333333329E-2</v>
      </c>
    </row>
    <row r="5" spans="1:4" ht="15.75">
      <c r="A5" s="1966"/>
      <c r="B5" s="725" t="s">
        <v>10</v>
      </c>
      <c r="C5" s="1969"/>
      <c r="D5" s="1972"/>
    </row>
    <row r="6" spans="1:4" ht="16.5" thickBot="1">
      <c r="A6" s="1967"/>
      <c r="B6" s="726" t="s">
        <v>11</v>
      </c>
      <c r="C6" s="1970"/>
      <c r="D6" s="1973"/>
    </row>
    <row r="7" spans="1:4" ht="15.75">
      <c r="A7" s="1965">
        <v>2</v>
      </c>
      <c r="B7" s="725" t="s">
        <v>12</v>
      </c>
      <c r="C7" s="1968" t="s">
        <v>13</v>
      </c>
      <c r="D7" s="1971">
        <v>0.16666666666666699</v>
      </c>
    </row>
    <row r="8" spans="1:4" ht="15.75">
      <c r="A8" s="1966"/>
      <c r="B8" s="725" t="s">
        <v>14</v>
      </c>
      <c r="C8" s="1969"/>
      <c r="D8" s="1972"/>
    </row>
    <row r="9" spans="1:4" ht="15.75">
      <c r="A9" s="1966"/>
      <c r="B9" s="725" t="s">
        <v>11</v>
      </c>
      <c r="C9" s="1969"/>
      <c r="D9" s="1972"/>
    </row>
    <row r="10" spans="1:4" ht="16.5" thickBot="1">
      <c r="A10" s="1967"/>
      <c r="B10" s="727" t="s">
        <v>15</v>
      </c>
      <c r="C10" s="1970"/>
      <c r="D10" s="1973"/>
    </row>
    <row r="11" spans="1:4" ht="15.75">
      <c r="A11" s="1965">
        <v>3</v>
      </c>
      <c r="B11" s="725" t="s">
        <v>16</v>
      </c>
      <c r="C11" s="1968" t="s">
        <v>17</v>
      </c>
      <c r="D11" s="1971">
        <v>0.25</v>
      </c>
    </row>
    <row r="12" spans="1:4" ht="15.75">
      <c r="A12" s="1966"/>
      <c r="B12" s="725" t="s">
        <v>18</v>
      </c>
      <c r="C12" s="1969"/>
      <c r="D12" s="1972"/>
    </row>
    <row r="13" spans="1:4" ht="16.5" thickBot="1">
      <c r="A13" s="1967"/>
      <c r="B13" s="726" t="s">
        <v>11</v>
      </c>
      <c r="C13" s="1970"/>
      <c r="D13" s="1973"/>
    </row>
    <row r="14" spans="1:4" ht="15.75">
      <c r="A14" s="1965">
        <v>4</v>
      </c>
      <c r="B14" s="725" t="s">
        <v>19</v>
      </c>
      <c r="C14" s="1968" t="s">
        <v>20</v>
      </c>
      <c r="D14" s="1971">
        <v>0.33333333333333331</v>
      </c>
    </row>
    <row r="15" spans="1:4" ht="15.75">
      <c r="A15" s="1966"/>
      <c r="B15" s="725" t="s">
        <v>21</v>
      </c>
      <c r="C15" s="1969"/>
      <c r="D15" s="1972"/>
    </row>
    <row r="16" spans="1:4" ht="16.5" thickBot="1">
      <c r="A16" s="1967"/>
      <c r="B16" s="726" t="s">
        <v>11</v>
      </c>
      <c r="C16" s="1970"/>
      <c r="D16" s="1973"/>
    </row>
    <row r="17" spans="1:4" ht="15.75">
      <c r="A17" s="1965">
        <v>5</v>
      </c>
      <c r="B17" s="725" t="s">
        <v>22</v>
      </c>
      <c r="C17" s="1968" t="s">
        <v>23</v>
      </c>
      <c r="D17" s="1971">
        <v>0.41666666666666669</v>
      </c>
    </row>
    <row r="18" spans="1:4" ht="15.75">
      <c r="A18" s="1966"/>
      <c r="B18" s="725" t="s">
        <v>24</v>
      </c>
      <c r="C18" s="1969"/>
      <c r="D18" s="1972"/>
    </row>
    <row r="19" spans="1:4" ht="15.75">
      <c r="A19" s="1966"/>
      <c r="B19" s="725" t="s">
        <v>11</v>
      </c>
      <c r="C19" s="1969"/>
      <c r="D19" s="1972"/>
    </row>
    <row r="20" spans="1:4" ht="16.5" thickBot="1">
      <c r="A20" s="1967"/>
      <c r="B20" s="727" t="s">
        <v>25</v>
      </c>
      <c r="C20" s="1970"/>
      <c r="D20" s="1973"/>
    </row>
    <row r="21" spans="1:4" ht="15.75">
      <c r="A21" s="1965">
        <v>6</v>
      </c>
      <c r="B21" s="725" t="s">
        <v>26</v>
      </c>
      <c r="C21" s="1968" t="s">
        <v>27</v>
      </c>
      <c r="D21" s="1971">
        <v>0.5</v>
      </c>
    </row>
    <row r="22" spans="1:4" ht="15.75">
      <c r="A22" s="1966"/>
      <c r="B22" s="725" t="s">
        <v>11</v>
      </c>
      <c r="C22" s="1969"/>
      <c r="D22" s="1972"/>
    </row>
    <row r="23" spans="1:4" ht="16.5" thickBot="1">
      <c r="A23" s="1967"/>
      <c r="B23" s="726" t="s">
        <v>28</v>
      </c>
      <c r="C23" s="1970"/>
      <c r="D23" s="1973"/>
    </row>
    <row r="24" spans="1:4" ht="15.75">
      <c r="A24" s="1976">
        <v>7</v>
      </c>
      <c r="B24" s="1073" t="s">
        <v>29</v>
      </c>
      <c r="C24" s="1979" t="s">
        <v>30</v>
      </c>
      <c r="D24" s="1982">
        <v>0.58333333333333337</v>
      </c>
    </row>
    <row r="25" spans="1:4" ht="15.75">
      <c r="A25" s="1977"/>
      <c r="B25" s="1073" t="s">
        <v>31</v>
      </c>
      <c r="C25" s="1980"/>
      <c r="D25" s="1983"/>
    </row>
    <row r="26" spans="1:4" ht="16.5" thickBot="1">
      <c r="A26" s="1978"/>
      <c r="B26" s="1074" t="s">
        <v>32</v>
      </c>
      <c r="C26" s="1981"/>
      <c r="D26" s="1984"/>
    </row>
    <row r="27" spans="1:4" ht="15.75">
      <c r="A27" s="1976">
        <v>8</v>
      </c>
      <c r="B27" s="1073" t="s">
        <v>33</v>
      </c>
      <c r="C27" s="1979" t="s">
        <v>34</v>
      </c>
      <c r="D27" s="1982">
        <v>0.66666666666666663</v>
      </c>
    </row>
    <row r="28" spans="1:4" ht="15.75">
      <c r="A28" s="1977"/>
      <c r="B28" s="1073" t="s">
        <v>35</v>
      </c>
      <c r="C28" s="1980"/>
      <c r="D28" s="1983"/>
    </row>
    <row r="29" spans="1:4" ht="15.75">
      <c r="A29" s="1977"/>
      <c r="B29" s="1073" t="s">
        <v>32</v>
      </c>
      <c r="C29" s="1980"/>
      <c r="D29" s="1983"/>
    </row>
    <row r="30" spans="1:4" ht="16.5" thickBot="1">
      <c r="A30" s="1978"/>
      <c r="B30" s="727" t="s">
        <v>36</v>
      </c>
      <c r="C30" s="1981"/>
      <c r="D30" s="1984"/>
    </row>
    <row r="31" spans="1:4" ht="15.75">
      <c r="A31" s="1985">
        <v>9</v>
      </c>
      <c r="B31" s="179" t="s">
        <v>37</v>
      </c>
      <c r="C31" s="1988" t="s">
        <v>38</v>
      </c>
      <c r="D31" s="1991">
        <v>0.75</v>
      </c>
    </row>
    <row r="32" spans="1:4" ht="15.75">
      <c r="A32" s="1986"/>
      <c r="B32" s="179" t="s">
        <v>39</v>
      </c>
      <c r="C32" s="1989"/>
      <c r="D32" s="1992"/>
    </row>
    <row r="33" spans="1:4" ht="16.5" thickBot="1">
      <c r="A33" s="1987"/>
      <c r="B33" s="180" t="s">
        <v>32</v>
      </c>
      <c r="C33" s="1990"/>
      <c r="D33" s="1993"/>
    </row>
    <row r="34" spans="1:4" ht="15.75">
      <c r="A34" s="1985">
        <v>10</v>
      </c>
      <c r="B34" s="179" t="s">
        <v>40</v>
      </c>
      <c r="C34" s="1988" t="s">
        <v>41</v>
      </c>
      <c r="D34" s="1991">
        <v>0.83333333333333337</v>
      </c>
    </row>
    <row r="35" spans="1:4" ht="15.75">
      <c r="A35" s="1986"/>
      <c r="B35" s="179" t="s">
        <v>42</v>
      </c>
      <c r="C35" s="1989"/>
      <c r="D35" s="1992"/>
    </row>
    <row r="36" spans="1:4" ht="16.5" thickBot="1">
      <c r="A36" s="1987"/>
      <c r="B36" s="180" t="s">
        <v>32</v>
      </c>
      <c r="C36" s="1990"/>
      <c r="D36" s="1993"/>
    </row>
    <row r="37" spans="1:4" ht="15.75">
      <c r="A37" s="1994">
        <v>11</v>
      </c>
      <c r="B37" s="184" t="s">
        <v>43</v>
      </c>
      <c r="C37" s="1996" t="s">
        <v>44</v>
      </c>
      <c r="D37" s="1998">
        <v>0.91666666666666663</v>
      </c>
    </row>
    <row r="38" spans="1:4" ht="15.75">
      <c r="A38" s="1995"/>
      <c r="B38" s="184" t="s">
        <v>45</v>
      </c>
      <c r="C38" s="1997"/>
      <c r="D38" s="1999"/>
    </row>
    <row r="39" spans="1:4" ht="16.5" thickBot="1">
      <c r="A39" s="1995"/>
      <c r="B39" s="184" t="s">
        <v>32</v>
      </c>
      <c r="C39" s="1997"/>
      <c r="D39" s="1999"/>
    </row>
    <row r="40" spans="1:4" ht="15.75">
      <c r="A40" s="2000">
        <v>12</v>
      </c>
      <c r="B40" s="221" t="s">
        <v>46</v>
      </c>
      <c r="C40" s="2003" t="s">
        <v>47</v>
      </c>
      <c r="D40" s="2006">
        <f>12/12</f>
        <v>1</v>
      </c>
    </row>
    <row r="41" spans="1:4" ht="15.75">
      <c r="A41" s="2001"/>
      <c r="B41" s="222" t="s">
        <v>48</v>
      </c>
      <c r="C41" s="2004"/>
      <c r="D41" s="2007"/>
    </row>
    <row r="42" spans="1:4" ht="15.75">
      <c r="A42" s="2001"/>
      <c r="B42" s="223" t="s">
        <v>49</v>
      </c>
      <c r="C42" s="2004"/>
      <c r="D42" s="2007"/>
    </row>
    <row r="43" spans="1:4" ht="16.5" thickBot="1">
      <c r="A43" s="2002"/>
      <c r="B43" s="224" t="s">
        <v>11</v>
      </c>
      <c r="C43" s="2005"/>
      <c r="D43" s="200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307" customWidth="1"/>
    <col min="8" max="8" width="24.7109375" style="307" customWidth="1"/>
    <col min="9" max="9" width="15.85546875" style="307" customWidth="1"/>
    <col min="10" max="10" width="31.5703125" style="307" customWidth="1"/>
    <col min="11" max="11" width="19.42578125" style="307" customWidth="1"/>
    <col min="12" max="12" width="36.7109375" style="307" customWidth="1"/>
    <col min="13" max="13" width="24.28515625" style="307" customWidth="1"/>
    <col min="14" max="16384" width="11.42578125" style="307"/>
  </cols>
  <sheetData>
    <row r="4" spans="1:14" ht="30.75" customHeight="1"/>
    <row r="5" spans="1:14" ht="40.5" customHeight="1"/>
    <row r="6" spans="1:14" ht="54" customHeight="1">
      <c r="A6" s="2056" t="s">
        <v>365</v>
      </c>
      <c r="B6" s="2057"/>
      <c r="C6" s="2057"/>
      <c r="D6" s="2057"/>
      <c r="E6" s="2057"/>
      <c r="F6" s="2057"/>
      <c r="G6" s="2057"/>
      <c r="H6" s="2057"/>
      <c r="I6" s="2057"/>
      <c r="J6" s="2057"/>
      <c r="K6" s="2057"/>
      <c r="L6" s="2057"/>
      <c r="M6" s="2057"/>
      <c r="N6" s="2057"/>
    </row>
    <row r="7" spans="1:14" ht="24.75" customHeight="1">
      <c r="A7" s="2057"/>
      <c r="B7" s="2057"/>
      <c r="C7" s="2057"/>
      <c r="D7" s="2057"/>
      <c r="E7" s="2057"/>
      <c r="F7" s="2057"/>
      <c r="G7" s="2057"/>
      <c r="H7" s="2057"/>
      <c r="I7" s="2057"/>
      <c r="J7" s="2057"/>
      <c r="K7" s="2057"/>
      <c r="L7" s="2057"/>
      <c r="M7" s="2057"/>
      <c r="N7" s="2057"/>
    </row>
    <row r="8" spans="1:14" ht="12" customHeight="1">
      <c r="A8" s="2057"/>
      <c r="B8" s="2057"/>
      <c r="C8" s="2057"/>
      <c r="D8" s="2057"/>
      <c r="E8" s="2057"/>
      <c r="F8" s="2057"/>
      <c r="G8" s="2057"/>
      <c r="H8" s="2057"/>
      <c r="I8" s="2057"/>
      <c r="J8" s="2057"/>
      <c r="K8" s="2057"/>
      <c r="L8" s="2057"/>
      <c r="M8" s="2057"/>
      <c r="N8" s="2057"/>
    </row>
    <row r="9" spans="1:14" ht="16.5" customHeight="1">
      <c r="A9" s="2057"/>
      <c r="B9" s="2057"/>
      <c r="C9" s="2057"/>
      <c r="D9" s="2057"/>
      <c r="E9" s="2057"/>
      <c r="F9" s="2057"/>
      <c r="G9" s="2057"/>
      <c r="H9" s="2057"/>
      <c r="I9" s="2057"/>
      <c r="J9" s="2057"/>
      <c r="K9" s="2057"/>
      <c r="L9" s="2057"/>
      <c r="M9" s="2057"/>
      <c r="N9" s="2057"/>
    </row>
    <row r="10" spans="1:14">
      <c r="A10" s="2057"/>
      <c r="B10" s="2057"/>
      <c r="C10" s="2057"/>
      <c r="D10" s="2057"/>
      <c r="E10" s="2057"/>
      <c r="F10" s="2057"/>
      <c r="G10" s="2057"/>
      <c r="H10" s="2057"/>
      <c r="I10" s="2057"/>
      <c r="J10" s="2057"/>
      <c r="K10" s="2057"/>
      <c r="L10" s="2057"/>
      <c r="M10" s="2057"/>
      <c r="N10" s="2057"/>
    </row>
    <row r="11" spans="1:14">
      <c r="A11" s="2057"/>
      <c r="B11" s="2057"/>
      <c r="C11" s="2057"/>
      <c r="D11" s="2057"/>
      <c r="E11" s="2057"/>
      <c r="F11" s="2057"/>
      <c r="G11" s="2057"/>
      <c r="H11" s="2057"/>
      <c r="I11" s="2057"/>
      <c r="J11" s="2057"/>
      <c r="K11" s="2057"/>
      <c r="L11" s="2057"/>
      <c r="M11" s="2057"/>
      <c r="N11" s="2057"/>
    </row>
    <row r="12" spans="1:14">
      <c r="A12" s="2057"/>
      <c r="B12" s="2057"/>
      <c r="C12" s="2057"/>
      <c r="D12" s="2057"/>
      <c r="E12" s="2057"/>
      <c r="F12" s="2057"/>
      <c r="G12" s="2057"/>
      <c r="H12" s="2057"/>
      <c r="I12" s="2057"/>
      <c r="J12" s="2057"/>
      <c r="K12" s="2057"/>
      <c r="L12" s="2057"/>
      <c r="M12" s="2057"/>
      <c r="N12" s="2057"/>
    </row>
    <row r="13" spans="1:14">
      <c r="A13" s="2057"/>
      <c r="B13" s="2057"/>
      <c r="C13" s="2057"/>
      <c r="D13" s="2057"/>
      <c r="E13" s="2057"/>
      <c r="F13" s="2057"/>
      <c r="G13" s="2057"/>
      <c r="H13" s="2057"/>
      <c r="I13" s="2057"/>
      <c r="J13" s="2057"/>
      <c r="K13" s="2057"/>
      <c r="L13" s="2057"/>
      <c r="M13" s="2057"/>
      <c r="N13" s="2057"/>
    </row>
    <row r="14" spans="1:14">
      <c r="A14" s="2057"/>
      <c r="B14" s="2057"/>
      <c r="C14" s="2057"/>
      <c r="D14" s="2057"/>
      <c r="E14" s="2057"/>
      <c r="F14" s="2057"/>
      <c r="G14" s="2057"/>
      <c r="H14" s="2057"/>
      <c r="I14" s="2057"/>
      <c r="J14" s="2057"/>
      <c r="K14" s="2057"/>
      <c r="L14" s="2057"/>
      <c r="M14" s="2057"/>
      <c r="N14" s="2057"/>
    </row>
    <row r="15" spans="1:14">
      <c r="A15" s="2057"/>
      <c r="B15" s="2057"/>
      <c r="C15" s="2057"/>
      <c r="D15" s="2057"/>
      <c r="E15" s="2057"/>
      <c r="F15" s="2057"/>
      <c r="G15" s="2057"/>
      <c r="H15" s="2057"/>
      <c r="I15" s="2057"/>
      <c r="J15" s="2057"/>
      <c r="K15" s="2057"/>
      <c r="L15" s="2057"/>
      <c r="M15" s="2057"/>
      <c r="N15" s="2057"/>
    </row>
    <row r="16" spans="1:14">
      <c r="A16" s="2057"/>
      <c r="B16" s="2057"/>
      <c r="C16" s="2057"/>
      <c r="D16" s="2057"/>
      <c r="E16" s="2057"/>
      <c r="F16" s="2057"/>
      <c r="G16" s="2057"/>
      <c r="H16" s="2057"/>
      <c r="I16" s="2057"/>
      <c r="J16" s="2057"/>
      <c r="K16" s="2057"/>
      <c r="L16" s="2057"/>
      <c r="M16" s="2057"/>
      <c r="N16" s="2057"/>
    </row>
    <row r="17" spans="1:14">
      <c r="A17" s="2057"/>
      <c r="B17" s="2057"/>
      <c r="C17" s="2057"/>
      <c r="D17" s="2057"/>
      <c r="E17" s="2057"/>
      <c r="F17" s="2057"/>
      <c r="G17" s="2057"/>
      <c r="H17" s="2057"/>
      <c r="I17" s="2057"/>
      <c r="J17" s="2057"/>
      <c r="K17" s="2057"/>
      <c r="L17" s="2057"/>
      <c r="M17" s="2057"/>
      <c r="N17" s="2057"/>
    </row>
    <row r="18" spans="1:14">
      <c r="A18" s="2057"/>
      <c r="B18" s="2057"/>
      <c r="C18" s="2057"/>
      <c r="D18" s="2057"/>
      <c r="E18" s="2057"/>
      <c r="F18" s="2057"/>
      <c r="G18" s="2057"/>
      <c r="H18" s="2057"/>
      <c r="I18" s="2057"/>
      <c r="J18" s="2057"/>
      <c r="K18" s="2057"/>
      <c r="L18" s="2057"/>
      <c r="M18" s="2057"/>
      <c r="N18" s="2057"/>
    </row>
    <row r="19" spans="1:14">
      <c r="A19" s="2057"/>
      <c r="B19" s="2057"/>
      <c r="C19" s="2057"/>
      <c r="D19" s="2057"/>
      <c r="E19" s="2057"/>
      <c r="F19" s="2057"/>
      <c r="G19" s="2057"/>
      <c r="H19" s="2057"/>
      <c r="I19" s="2057"/>
      <c r="J19" s="2057"/>
      <c r="K19" s="2057"/>
      <c r="L19" s="2057"/>
      <c r="M19" s="2057"/>
      <c r="N19" s="2057"/>
    </row>
    <row r="20" spans="1:14">
      <c r="A20" s="2057"/>
      <c r="B20" s="2057"/>
      <c r="C20" s="2057"/>
      <c r="D20" s="2057"/>
      <c r="E20" s="2057"/>
      <c r="F20" s="2057"/>
      <c r="G20" s="2057"/>
      <c r="H20" s="2057"/>
      <c r="I20" s="2057"/>
      <c r="J20" s="2057"/>
      <c r="K20" s="2057"/>
      <c r="L20" s="2057"/>
      <c r="M20" s="2057"/>
      <c r="N20" s="2057"/>
    </row>
    <row r="21" spans="1:14">
      <c r="A21" s="2057"/>
      <c r="B21" s="2057"/>
      <c r="C21" s="2057"/>
      <c r="D21" s="2057"/>
      <c r="E21" s="2057"/>
      <c r="F21" s="2057"/>
      <c r="G21" s="2057"/>
      <c r="H21" s="2057"/>
      <c r="I21" s="2057"/>
      <c r="J21" s="2057"/>
      <c r="K21" s="2057"/>
      <c r="L21" s="2057"/>
      <c r="M21" s="2057"/>
      <c r="N21" s="2057"/>
    </row>
    <row r="22" spans="1:14">
      <c r="A22" s="2057"/>
      <c r="B22" s="2057"/>
      <c r="C22" s="2057"/>
      <c r="D22" s="2057"/>
      <c r="E22" s="2057"/>
      <c r="F22" s="2057"/>
      <c r="G22" s="2057"/>
      <c r="H22" s="2057"/>
      <c r="I22" s="2057"/>
      <c r="J22" s="2057"/>
      <c r="K22" s="2057"/>
      <c r="L22" s="2057"/>
      <c r="M22" s="2057"/>
      <c r="N22" s="2057"/>
    </row>
    <row r="23" spans="1:14">
      <c r="A23" s="2057"/>
      <c r="B23" s="2057"/>
      <c r="C23" s="2057"/>
      <c r="D23" s="2057"/>
      <c r="E23" s="2057"/>
      <c r="F23" s="2057"/>
      <c r="G23" s="2057"/>
      <c r="H23" s="2057"/>
      <c r="I23" s="2057"/>
      <c r="J23" s="2057"/>
      <c r="K23" s="2057"/>
      <c r="L23" s="2057"/>
      <c r="M23" s="2057"/>
      <c r="N23" s="2057"/>
    </row>
    <row r="24" spans="1:14">
      <c r="A24" s="2057"/>
      <c r="B24" s="2057"/>
      <c r="C24" s="2057"/>
      <c r="D24" s="2057"/>
      <c r="E24" s="2057"/>
      <c r="F24" s="2057"/>
      <c r="G24" s="2057"/>
      <c r="H24" s="2057"/>
      <c r="I24" s="2057"/>
      <c r="J24" s="2057"/>
      <c r="K24" s="2057"/>
      <c r="L24" s="2057"/>
      <c r="M24" s="2057"/>
      <c r="N24" s="2057"/>
    </row>
    <row r="25" spans="1:14">
      <c r="A25" s="2057"/>
      <c r="B25" s="2057"/>
      <c r="C25" s="2057"/>
      <c r="D25" s="2057"/>
      <c r="E25" s="2057"/>
      <c r="F25" s="2057"/>
      <c r="G25" s="2057"/>
      <c r="H25" s="2057"/>
      <c r="I25" s="2057"/>
      <c r="J25" s="2057"/>
      <c r="K25" s="2057"/>
      <c r="L25" s="2057"/>
      <c r="M25" s="2057"/>
      <c r="N25" s="2057"/>
    </row>
    <row r="26" spans="1:14">
      <c r="A26" s="2057"/>
      <c r="B26" s="2057"/>
      <c r="C26" s="2057"/>
      <c r="D26" s="2057"/>
      <c r="E26" s="2057"/>
      <c r="F26" s="2057"/>
      <c r="G26" s="2057"/>
      <c r="H26" s="2057"/>
      <c r="I26" s="2057"/>
      <c r="J26" s="2057"/>
      <c r="K26" s="2057"/>
      <c r="L26" s="2057"/>
      <c r="M26" s="2057"/>
      <c r="N26" s="2057"/>
    </row>
    <row r="27" spans="1:14">
      <c r="A27" s="2057"/>
      <c r="B27" s="2057"/>
      <c r="C27" s="2057"/>
      <c r="D27" s="2057"/>
      <c r="E27" s="2057"/>
      <c r="F27" s="2057"/>
      <c r="G27" s="2057"/>
      <c r="H27" s="2057"/>
      <c r="I27" s="2057"/>
      <c r="J27" s="2057"/>
      <c r="K27" s="2057"/>
      <c r="L27" s="2057"/>
      <c r="M27" s="2057"/>
      <c r="N27" s="2057"/>
    </row>
    <row r="28" spans="1:14">
      <c r="A28" s="2057"/>
      <c r="B28" s="2057"/>
      <c r="C28" s="2057"/>
      <c r="D28" s="2057"/>
      <c r="E28" s="2057"/>
      <c r="F28" s="2057"/>
      <c r="G28" s="2057"/>
      <c r="H28" s="2057"/>
      <c r="I28" s="2057"/>
      <c r="J28" s="2057"/>
      <c r="K28" s="2057"/>
      <c r="L28" s="2057"/>
      <c r="M28" s="2057"/>
      <c r="N28" s="2057"/>
    </row>
    <row r="29" spans="1:14">
      <c r="A29" s="2057"/>
      <c r="B29" s="2057"/>
      <c r="C29" s="2057"/>
      <c r="D29" s="2057"/>
      <c r="E29" s="2057"/>
      <c r="F29" s="2057"/>
      <c r="G29" s="2057"/>
      <c r="H29" s="2057"/>
      <c r="I29" s="2057"/>
      <c r="J29" s="2057"/>
      <c r="K29" s="2057"/>
      <c r="L29" s="2057"/>
      <c r="M29" s="2057"/>
      <c r="N29" s="2057"/>
    </row>
    <row r="30" spans="1:14" ht="42.75" customHeight="1">
      <c r="A30" s="2057"/>
      <c r="B30" s="2057"/>
      <c r="C30" s="2057"/>
      <c r="D30" s="2057"/>
      <c r="E30" s="2057"/>
      <c r="F30" s="2057"/>
      <c r="G30" s="2057"/>
      <c r="H30" s="2057"/>
      <c r="I30" s="2057"/>
      <c r="J30" s="2057"/>
      <c r="K30" s="2057"/>
      <c r="L30" s="2057"/>
      <c r="M30" s="2057"/>
      <c r="N30" s="2057"/>
    </row>
    <row r="31" spans="1:14" ht="42.75" customHeight="1">
      <c r="A31" s="2057"/>
      <c r="B31" s="2057"/>
      <c r="C31" s="2057"/>
      <c r="D31" s="2057"/>
      <c r="E31" s="2057"/>
      <c r="F31" s="2057"/>
      <c r="G31" s="2057"/>
      <c r="H31" s="2057"/>
      <c r="I31" s="2057"/>
      <c r="J31" s="2057"/>
      <c r="K31" s="2057"/>
      <c r="L31" s="2057"/>
      <c r="M31" s="2057"/>
      <c r="N31" s="2057"/>
    </row>
    <row r="32" spans="1:14" ht="42.75" customHeight="1">
      <c r="A32" s="2057"/>
      <c r="B32" s="2057"/>
      <c r="C32" s="2057"/>
      <c r="D32" s="2057"/>
      <c r="E32" s="2057"/>
      <c r="F32" s="2057"/>
      <c r="G32" s="2057"/>
      <c r="H32" s="2057"/>
      <c r="I32" s="2057"/>
      <c r="J32" s="2057"/>
      <c r="K32" s="2057"/>
      <c r="L32" s="2057"/>
      <c r="M32" s="2057"/>
      <c r="N32" s="2057"/>
    </row>
    <row r="33" spans="1:14" ht="42.75" customHeight="1">
      <c r="A33" s="2057"/>
      <c r="B33" s="2057"/>
      <c r="C33" s="2057"/>
      <c r="D33" s="2057"/>
      <c r="E33" s="2057"/>
      <c r="F33" s="2057"/>
      <c r="G33" s="2057"/>
      <c r="H33" s="2057"/>
      <c r="I33" s="2057"/>
      <c r="J33" s="2057"/>
      <c r="K33" s="2057"/>
      <c r="L33" s="2057"/>
      <c r="M33" s="2057"/>
      <c r="N33" s="2057"/>
    </row>
    <row r="34" spans="1:14" ht="24.75" customHeight="1">
      <c r="A34" s="2057"/>
      <c r="B34" s="2057"/>
      <c r="C34" s="2057"/>
      <c r="D34" s="2057"/>
      <c r="E34" s="2057"/>
      <c r="F34" s="2057"/>
      <c r="G34" s="2057"/>
      <c r="H34" s="2057"/>
      <c r="I34" s="2057"/>
      <c r="J34" s="2057"/>
      <c r="K34" s="2057"/>
      <c r="L34" s="2057"/>
      <c r="M34" s="2057"/>
      <c r="N34" s="2057"/>
    </row>
    <row r="35" spans="1:14" ht="24.75" customHeight="1">
      <c r="A35" s="2057"/>
      <c r="B35" s="2057"/>
      <c r="C35" s="2057"/>
      <c r="D35" s="2057"/>
      <c r="E35" s="2057"/>
      <c r="F35" s="2057"/>
      <c r="G35" s="2057"/>
      <c r="H35" s="2057"/>
      <c r="I35" s="2057"/>
      <c r="J35" s="2057"/>
      <c r="K35" s="2057"/>
      <c r="L35" s="2057"/>
      <c r="M35" s="2057"/>
      <c r="N35" s="2057"/>
    </row>
    <row r="36" spans="1:14" ht="24.75" customHeight="1">
      <c r="A36" s="2057"/>
      <c r="B36" s="2057"/>
      <c r="C36" s="2057"/>
      <c r="D36" s="2057"/>
      <c r="E36" s="2057"/>
      <c r="F36" s="2057"/>
      <c r="G36" s="2057"/>
      <c r="H36" s="2057"/>
      <c r="I36" s="2057"/>
      <c r="J36" s="2057"/>
      <c r="K36" s="2057"/>
      <c r="L36" s="2057"/>
      <c r="M36" s="2057"/>
      <c r="N36" s="2057"/>
    </row>
    <row r="37" spans="1:14" ht="24.75" customHeight="1">
      <c r="A37" s="2057"/>
      <c r="B37" s="2057"/>
      <c r="C37" s="2057"/>
      <c r="D37" s="2057"/>
      <c r="E37" s="2057"/>
      <c r="F37" s="2057"/>
      <c r="G37" s="2057"/>
      <c r="H37" s="2057"/>
      <c r="I37" s="2057"/>
      <c r="J37" s="2057"/>
      <c r="K37" s="2057"/>
      <c r="L37" s="2057"/>
      <c r="M37" s="2057"/>
      <c r="N37" s="2057"/>
    </row>
    <row r="38" spans="1:14" ht="45" customHeight="1">
      <c r="A38" s="2057"/>
      <c r="B38" s="2057"/>
      <c r="C38" s="2057"/>
      <c r="D38" s="2057"/>
      <c r="E38" s="2057"/>
      <c r="F38" s="2057"/>
      <c r="G38" s="2057"/>
      <c r="H38" s="2057"/>
      <c r="I38" s="2057"/>
      <c r="J38" s="2057"/>
      <c r="K38" s="2057"/>
      <c r="L38" s="2057"/>
      <c r="M38" s="2057"/>
      <c r="N38" s="2057"/>
    </row>
    <row r="39" spans="1:14" ht="45" customHeight="1">
      <c r="A39" s="2057"/>
      <c r="B39" s="2057"/>
      <c r="C39" s="2057"/>
      <c r="D39" s="2057"/>
      <c r="E39" s="2057"/>
      <c r="F39" s="2057"/>
      <c r="G39" s="2057"/>
      <c r="H39" s="2057"/>
      <c r="I39" s="2057"/>
      <c r="J39" s="2057"/>
      <c r="K39" s="2057"/>
      <c r="L39" s="2057"/>
      <c r="M39" s="2057"/>
      <c r="N39" s="2057"/>
    </row>
    <row r="40" spans="1:14" ht="45" customHeight="1">
      <c r="A40" s="2057"/>
      <c r="B40" s="2057"/>
      <c r="C40" s="2057"/>
      <c r="D40" s="2057"/>
      <c r="E40" s="2057"/>
      <c r="F40" s="2057"/>
      <c r="G40" s="2057"/>
      <c r="H40" s="2057"/>
      <c r="I40" s="2057"/>
      <c r="J40" s="2057"/>
      <c r="K40" s="2057"/>
      <c r="L40" s="2057"/>
      <c r="M40" s="2057"/>
      <c r="N40" s="2057"/>
    </row>
    <row r="41" spans="1:14" ht="45" customHeight="1">
      <c r="A41" s="2057"/>
      <c r="B41" s="2057"/>
      <c r="C41" s="2057"/>
      <c r="D41" s="2057"/>
      <c r="E41" s="2057"/>
      <c r="F41" s="2057"/>
      <c r="G41" s="2057"/>
      <c r="H41" s="2057"/>
      <c r="I41" s="2057"/>
      <c r="J41" s="2057"/>
      <c r="K41" s="2057"/>
      <c r="L41" s="2057"/>
      <c r="M41" s="2057"/>
      <c r="N41" s="2057"/>
    </row>
    <row r="42" spans="1:14" ht="45" customHeight="1">
      <c r="A42" s="2057"/>
      <c r="B42" s="2057"/>
      <c r="C42" s="2057"/>
      <c r="D42" s="2057"/>
      <c r="E42" s="2057"/>
      <c r="F42" s="2057"/>
      <c r="G42" s="2057"/>
      <c r="H42" s="2057"/>
      <c r="I42" s="2057"/>
      <c r="J42" s="2057"/>
      <c r="K42" s="2057"/>
      <c r="L42" s="2057"/>
      <c r="M42" s="2057"/>
      <c r="N42" s="2057"/>
    </row>
    <row r="43" spans="1:14" ht="126.75" customHeight="1">
      <c r="A43" s="2057"/>
      <c r="B43" s="2057"/>
      <c r="C43" s="2057"/>
      <c r="D43" s="2057"/>
      <c r="E43" s="2057"/>
      <c r="F43" s="2057"/>
      <c r="G43" s="2057"/>
      <c r="H43" s="2057"/>
      <c r="I43" s="2057"/>
      <c r="J43" s="2057"/>
      <c r="K43" s="2057"/>
      <c r="L43" s="2057"/>
      <c r="M43" s="2057"/>
      <c r="N43" s="2057"/>
    </row>
    <row r="44" spans="1:14" ht="45" customHeight="1">
      <c r="A44" s="2057"/>
      <c r="B44" s="2057"/>
      <c r="C44" s="2057"/>
      <c r="D44" s="2057"/>
      <c r="E44" s="2057"/>
      <c r="F44" s="2057"/>
      <c r="G44" s="2057"/>
      <c r="H44" s="2057"/>
      <c r="I44" s="2057"/>
      <c r="J44" s="2057"/>
      <c r="K44" s="2057"/>
      <c r="L44" s="2057"/>
      <c r="M44" s="2057"/>
      <c r="N44" s="2057"/>
    </row>
    <row r="45" spans="1:14" ht="45" customHeight="1">
      <c r="A45" s="2057"/>
      <c r="B45" s="2057"/>
      <c r="C45" s="2057"/>
      <c r="D45" s="2057"/>
      <c r="E45" s="2057"/>
      <c r="F45" s="2057"/>
      <c r="G45" s="2057"/>
      <c r="H45" s="2057"/>
      <c r="I45" s="2057"/>
      <c r="J45" s="2057"/>
      <c r="K45" s="2057"/>
      <c r="L45" s="2057"/>
      <c r="M45" s="2057"/>
      <c r="N45" s="2057"/>
    </row>
    <row r="46" spans="1:14" ht="45" customHeight="1">
      <c r="A46" s="2057"/>
      <c r="B46" s="2057"/>
      <c r="C46" s="2057"/>
      <c r="D46" s="2057"/>
      <c r="E46" s="2057"/>
      <c r="F46" s="2057"/>
      <c r="G46" s="2057"/>
      <c r="H46" s="2057"/>
      <c r="I46" s="2057"/>
      <c r="J46" s="2057"/>
      <c r="K46" s="2057"/>
      <c r="L46" s="2057"/>
      <c r="M46" s="2057"/>
      <c r="N46" s="2057"/>
    </row>
    <row r="47" spans="1:14" ht="88.5" customHeight="1">
      <c r="A47" s="2057"/>
      <c r="B47" s="2057"/>
      <c r="C47" s="2057"/>
      <c r="D47" s="2057"/>
      <c r="E47" s="2057"/>
      <c r="F47" s="2057"/>
      <c r="G47" s="2057"/>
      <c r="H47" s="2057"/>
      <c r="I47" s="2057"/>
      <c r="J47" s="2057"/>
      <c r="K47" s="2057"/>
      <c r="L47" s="2057"/>
      <c r="M47" s="2057"/>
      <c r="N47" s="2057"/>
    </row>
    <row r="48" spans="1:14" ht="408.75" customHeight="1">
      <c r="A48" s="2057"/>
      <c r="B48" s="2057"/>
      <c r="C48" s="2057"/>
      <c r="D48" s="2057"/>
      <c r="E48" s="2057"/>
      <c r="F48" s="2057"/>
      <c r="G48" s="2057"/>
      <c r="H48" s="2057"/>
      <c r="I48" s="2057"/>
      <c r="J48" s="2057"/>
      <c r="K48" s="2057"/>
      <c r="L48" s="2057"/>
      <c r="M48" s="2057"/>
      <c r="N48" s="2057"/>
    </row>
    <row r="49" ht="142.5" customHeight="1"/>
  </sheetData>
  <mergeCells count="1">
    <mergeCell ref="A6:N48"/>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
    <tabColor theme="6" tint="-0.249977111117893"/>
    <pageSetUpPr fitToPage="1"/>
  </sheetPr>
  <dimension ref="A2:V41"/>
  <sheetViews>
    <sheetView showGridLines="0" view="pageBreakPreview" zoomScale="85" zoomScaleNormal="100" zoomScaleSheetLayoutView="85" workbookViewId="0">
      <selection activeCell="K34" sqref="K34"/>
    </sheetView>
  </sheetViews>
  <sheetFormatPr defaultColWidth="11.42578125" defaultRowHeight="15"/>
  <cols>
    <col min="1" max="3" width="11.42578125" style="307"/>
    <col min="4" max="4" width="20.7109375" style="307" customWidth="1"/>
    <col min="5" max="5" width="21.140625" style="307" customWidth="1"/>
    <col min="6" max="6" width="11.5703125" style="307" customWidth="1"/>
    <col min="7" max="7" width="24.28515625" style="307" customWidth="1"/>
    <col min="8" max="8" width="23.5703125" style="307" customWidth="1"/>
    <col min="9" max="9" width="21.5703125" style="307" customWidth="1"/>
    <col min="10" max="10" width="16" style="307" customWidth="1"/>
    <col min="11" max="11" width="10.42578125" style="307" customWidth="1"/>
    <col min="12" max="12" width="34.42578125" style="400" customWidth="1"/>
    <col min="13" max="13" width="16.42578125" style="400" customWidth="1"/>
    <col min="14" max="14" width="14.42578125" style="461" customWidth="1"/>
    <col min="15" max="15" width="18.85546875" style="400" bestFit="1" customWidth="1"/>
    <col min="16" max="16" width="17.42578125" style="400" customWidth="1"/>
    <col min="17" max="17" width="13.28515625" style="400" customWidth="1"/>
    <col min="18" max="19" width="11.42578125" style="400"/>
    <col min="20" max="20" width="17.7109375" style="400" customWidth="1"/>
    <col min="21" max="22" width="11.42578125" style="400"/>
    <col min="23" max="16384" width="11.42578125" style="307"/>
  </cols>
  <sheetData>
    <row r="2" spans="1:19" ht="32.25" customHeight="1"/>
    <row r="4" spans="1:19" ht="12.75" customHeight="1"/>
    <row r="5" spans="1:19">
      <c r="A5" s="2058" t="s">
        <v>366</v>
      </c>
      <c r="B5" s="2059"/>
      <c r="C5" s="2059"/>
      <c r="D5" s="2059"/>
      <c r="E5" s="2059"/>
      <c r="F5" s="2059"/>
      <c r="G5" s="2059"/>
      <c r="H5" s="2059"/>
      <c r="I5" s="2059"/>
      <c r="J5" s="2059"/>
    </row>
    <row r="6" spans="1:19">
      <c r="A6" s="2059"/>
      <c r="B6" s="2059"/>
      <c r="C6" s="2059"/>
      <c r="D6" s="2059"/>
      <c r="E6" s="2059"/>
      <c r="F6" s="2059"/>
      <c r="G6" s="2059"/>
      <c r="H6" s="2059"/>
      <c r="I6" s="2059"/>
      <c r="J6" s="2059"/>
    </row>
    <row r="7" spans="1:19">
      <c r="A7" s="2059"/>
      <c r="B7" s="2059"/>
      <c r="C7" s="2059"/>
      <c r="D7" s="2059"/>
      <c r="E7" s="2059"/>
      <c r="F7" s="2059"/>
      <c r="G7" s="2059"/>
      <c r="H7" s="2059"/>
      <c r="I7" s="2059"/>
      <c r="J7" s="2059"/>
      <c r="Q7" s="307"/>
      <c r="R7" s="307"/>
      <c r="S7" s="307"/>
    </row>
    <row r="8" spans="1:19" ht="12" customHeight="1">
      <c r="A8" s="2059"/>
      <c r="B8" s="2059"/>
      <c r="C8" s="2059"/>
      <c r="D8" s="2059"/>
      <c r="E8" s="2059"/>
      <c r="F8" s="2059"/>
      <c r="G8" s="2059"/>
      <c r="H8" s="2059"/>
      <c r="I8" s="2059"/>
      <c r="J8" s="2059"/>
    </row>
    <row r="9" spans="1:19" ht="16.5" customHeight="1">
      <c r="A9" s="2059"/>
      <c r="B9" s="2059"/>
      <c r="C9" s="2059"/>
      <c r="D9" s="2059"/>
      <c r="E9" s="2059"/>
      <c r="F9" s="2059"/>
      <c r="G9" s="2059"/>
      <c r="H9" s="2059"/>
      <c r="I9" s="2059"/>
      <c r="J9" s="2059"/>
    </row>
    <row r="10" spans="1:19" ht="31.5" customHeight="1">
      <c r="A10" s="2059"/>
      <c r="B10" s="2059"/>
      <c r="C10" s="2059"/>
      <c r="D10" s="2059"/>
      <c r="E10" s="2059"/>
      <c r="F10" s="2059"/>
      <c r="G10" s="2059"/>
      <c r="H10" s="2059"/>
      <c r="I10" s="2059"/>
      <c r="J10" s="2059"/>
    </row>
    <row r="11" spans="1:19">
      <c r="A11" s="2059"/>
      <c r="B11" s="2059"/>
      <c r="C11" s="2059"/>
      <c r="D11" s="2059"/>
      <c r="E11" s="2059"/>
      <c r="F11" s="2059"/>
      <c r="G11" s="2059"/>
      <c r="H11" s="2059"/>
      <c r="I11" s="2059"/>
      <c r="J11" s="2059"/>
      <c r="L11" s="1048" t="str">
        <f>+'II.3. Empl x sector '!F4</f>
        <v>Total Empresas</v>
      </c>
      <c r="M11" s="1048">
        <f>+'II.3. Empl x sector '!F22</f>
        <v>112284</v>
      </c>
      <c r="N11" s="1049">
        <f>+M11/$M$11</f>
        <v>1</v>
      </c>
    </row>
    <row r="12" spans="1:19">
      <c r="A12" s="2059"/>
      <c r="B12" s="2059"/>
      <c r="C12" s="2059"/>
      <c r="D12" s="2059"/>
      <c r="E12" s="2059"/>
      <c r="F12" s="2059"/>
      <c r="G12" s="2059"/>
      <c r="H12" s="2059"/>
      <c r="I12" s="2059"/>
      <c r="J12" s="2059"/>
      <c r="L12" s="1050" t="str">
        <f>+'II.3. Empl x sector '!B4</f>
        <v>Empresas Privadas</v>
      </c>
      <c r="M12" s="1051">
        <f>+'II.3. Empl x sector '!B22</f>
        <v>111636</v>
      </c>
      <c r="N12" s="1052">
        <f>+M12/$M$11</f>
        <v>0.99422891952548897</v>
      </c>
    </row>
    <row r="13" spans="1:19" ht="29.25" customHeight="1">
      <c r="A13" s="2059"/>
      <c r="B13" s="2059"/>
      <c r="C13" s="2059"/>
      <c r="D13" s="2059"/>
      <c r="E13" s="2059"/>
      <c r="F13" s="2059"/>
      <c r="G13" s="2059"/>
      <c r="H13" s="2059"/>
      <c r="I13" s="2059"/>
      <c r="J13" s="2059"/>
      <c r="K13" s="400"/>
      <c r="L13" s="1050" t="str">
        <f>+'II.3. Empl x sector '!C4</f>
        <v xml:space="preserve"> Empresas Públicas </v>
      </c>
      <c r="M13" s="1051">
        <f>+'II.3. Empl x sector '!C22</f>
        <v>580</v>
      </c>
      <c r="N13" s="1052">
        <f>+M13/$M$11</f>
        <v>5.1654732642228635E-3</v>
      </c>
      <c r="O13" s="325">
        <f>+(M13+M14)/M11</f>
        <v>5.7710804745110611E-3</v>
      </c>
    </row>
    <row r="14" spans="1:19">
      <c r="A14" s="2059"/>
      <c r="B14" s="2059"/>
      <c r="C14" s="2059"/>
      <c r="D14" s="2059"/>
      <c r="E14" s="2059"/>
      <c r="F14" s="2059"/>
      <c r="G14" s="2059"/>
      <c r="H14" s="2059"/>
      <c r="I14" s="2059"/>
      <c r="J14" s="2059"/>
      <c r="L14" s="1050" t="str">
        <f>+'II.3. Empl x sector '!D4</f>
        <v>Empresas Públicas Centralizadas</v>
      </c>
      <c r="M14" s="1051">
        <f>+'II.3. Empl x sector '!D22</f>
        <v>68</v>
      </c>
      <c r="N14" s="1052">
        <f>+M14/$M$11</f>
        <v>6.0560721028819775E-4</v>
      </c>
      <c r="O14" s="400">
        <f>+M14+M13</f>
        <v>648</v>
      </c>
    </row>
    <row r="15" spans="1:19" ht="13.5" customHeight="1">
      <c r="A15" s="2059"/>
      <c r="B15" s="2059"/>
      <c r="C15" s="2059"/>
      <c r="D15" s="2059"/>
      <c r="E15" s="2059"/>
      <c r="F15" s="2059"/>
      <c r="G15" s="2059"/>
      <c r="H15" s="2059"/>
      <c r="I15" s="2059"/>
      <c r="J15" s="2059"/>
      <c r="L15" s="1352" t="str">
        <f>+Tabla2[[#Headers],[Empresas y Empleados sin claficar]]</f>
        <v>Empresas y Empleados sin claficar</v>
      </c>
      <c r="M15" s="1352">
        <f>+'II.3. Empl x sector '!K22</f>
        <v>0</v>
      </c>
      <c r="N15" s="1052">
        <f>+M15/M11</f>
        <v>0</v>
      </c>
      <c r="O15" s="307"/>
      <c r="P15" s="307"/>
    </row>
    <row r="16" spans="1:19">
      <c r="A16" s="2059"/>
      <c r="B16" s="2059"/>
      <c r="C16" s="2059"/>
      <c r="D16" s="2059"/>
      <c r="E16" s="2059"/>
      <c r="F16" s="2059"/>
      <c r="G16" s="2059"/>
      <c r="H16" s="2059"/>
      <c r="I16" s="2059"/>
      <c r="J16" s="2059"/>
      <c r="L16" s="461"/>
    </row>
    <row r="17" spans="1:21">
      <c r="A17" s="2059"/>
      <c r="B17" s="2059"/>
      <c r="C17" s="2059"/>
      <c r="D17" s="2059"/>
      <c r="E17" s="2059"/>
      <c r="F17" s="2059"/>
      <c r="G17" s="2059"/>
      <c r="H17" s="2059"/>
      <c r="I17" s="2059"/>
      <c r="J17" s="2059"/>
      <c r="L17" s="1216" t="str">
        <f>+'II.3. Empl x sector '!J4</f>
        <v>Total  Empleados</v>
      </c>
      <c r="M17" s="1216">
        <f>+'II.3. Empl x sector '!$J$22</f>
        <v>2554953</v>
      </c>
      <c r="N17" s="1217">
        <f>+M17/$M$17</f>
        <v>1</v>
      </c>
    </row>
    <row r="18" spans="1:21">
      <c r="A18" s="2059"/>
      <c r="B18" s="2059"/>
      <c r="C18" s="2059"/>
      <c r="D18" s="2059"/>
      <c r="E18" s="2059"/>
      <c r="F18" s="2059"/>
      <c r="G18" s="2059"/>
      <c r="H18" s="2059"/>
      <c r="I18" s="2059"/>
      <c r="J18" s="2059"/>
      <c r="L18" s="462" t="str">
        <f>+'II.3. Empl x sector '!G4</f>
        <v xml:space="preserve"> Empleados Privados</v>
      </c>
      <c r="M18" s="464">
        <f>+'II.3. Empl x sector '!$G$22</f>
        <v>1799175</v>
      </c>
      <c r="N18" s="463">
        <f>+M18/$M$17</f>
        <v>0.70419103599948807</v>
      </c>
    </row>
    <row r="19" spans="1:21">
      <c r="A19" s="2059"/>
      <c r="B19" s="2059"/>
      <c r="C19" s="2059"/>
      <c r="D19" s="2059"/>
      <c r="E19" s="2059"/>
      <c r="F19" s="2059"/>
      <c r="G19" s="2059"/>
      <c r="H19" s="2059"/>
      <c r="I19" s="2059"/>
      <c r="J19" s="2059"/>
      <c r="L19" s="462" t="str">
        <f>+'II.3. Empl x sector '!H4</f>
        <v xml:space="preserve">Empleados  Públicos </v>
      </c>
      <c r="M19" s="464">
        <f>+'II.3. Empl x sector '!$H$22</f>
        <v>353558</v>
      </c>
      <c r="N19" s="463">
        <f>+M19/$M$17</f>
        <v>0.13838141053866745</v>
      </c>
      <c r="O19" s="400">
        <f>+M19+M20</f>
        <v>755778</v>
      </c>
    </row>
    <row r="20" spans="1:21">
      <c r="A20" s="2059"/>
      <c r="B20" s="2059"/>
      <c r="C20" s="2059"/>
      <c r="D20" s="2059"/>
      <c r="E20" s="2059"/>
      <c r="F20" s="2059"/>
      <c r="G20" s="2059"/>
      <c r="H20" s="2059"/>
      <c r="I20" s="2059"/>
      <c r="J20" s="2059"/>
      <c r="L20" s="462" t="str">
        <f>+'II.3. Empl x sector '!I4</f>
        <v>Empleados Públicos Centralizados</v>
      </c>
      <c r="M20" s="464">
        <f>+'II.3. Empl x sector '!$I$22</f>
        <v>402220</v>
      </c>
      <c r="N20" s="463">
        <f>+M20/$M$17</f>
        <v>0.1574275534618445</v>
      </c>
    </row>
    <row r="21" spans="1:21" ht="14.25">
      <c r="A21" s="2059"/>
      <c r="B21" s="2059"/>
      <c r="C21" s="2059"/>
      <c r="D21" s="2059"/>
      <c r="E21" s="2059"/>
      <c r="F21" s="2059"/>
      <c r="G21" s="2059"/>
      <c r="H21" s="2059"/>
      <c r="I21" s="2059"/>
      <c r="J21" s="2059"/>
      <c r="L21" s="400" t="str">
        <f>+Tabla2[[#Headers],[Relación Promedio Empleados / Empresas]]</f>
        <v>Relación Promedio Empleados / Empresas</v>
      </c>
      <c r="N21" s="400">
        <f>+'II.3. Empl x sector '!L22</f>
        <v>22.754381746286203</v>
      </c>
    </row>
    <row r="22" spans="1:21">
      <c r="A22" s="2059"/>
      <c r="B22" s="2059"/>
      <c r="C22" s="2059"/>
      <c r="D22" s="2059"/>
      <c r="E22" s="2059"/>
      <c r="F22" s="2059"/>
      <c r="G22" s="2059"/>
      <c r="H22" s="2059"/>
      <c r="I22" s="2059"/>
      <c r="J22" s="2059"/>
    </row>
    <row r="23" spans="1:21" ht="55.5" customHeight="1">
      <c r="A23" s="2059"/>
      <c r="B23" s="2059"/>
      <c r="C23" s="2059"/>
      <c r="D23" s="2059"/>
      <c r="E23" s="2059"/>
      <c r="F23" s="2059"/>
      <c r="G23" s="2059"/>
      <c r="H23" s="2059"/>
      <c r="I23" s="2059"/>
      <c r="J23" s="2059"/>
    </row>
    <row r="24" spans="1:21">
      <c r="A24" s="2059"/>
      <c r="B24" s="2059"/>
      <c r="C24" s="2059"/>
      <c r="D24" s="2059"/>
      <c r="E24" s="2059"/>
      <c r="F24" s="2059"/>
      <c r="G24" s="2059"/>
      <c r="H24" s="2059"/>
      <c r="I24" s="2059"/>
      <c r="J24" s="2059"/>
      <c r="L24" s="961"/>
      <c r="M24" s="961"/>
      <c r="N24" s="1365"/>
    </row>
    <row r="25" spans="1:21">
      <c r="A25" s="2059"/>
      <c r="B25" s="2059"/>
      <c r="C25" s="2059"/>
      <c r="D25" s="2059"/>
      <c r="E25" s="2059"/>
      <c r="F25" s="2059"/>
      <c r="G25" s="2059"/>
      <c r="H25" s="2059"/>
      <c r="I25" s="2059"/>
      <c r="J25" s="2059"/>
      <c r="R25" s="1556"/>
    </row>
    <row r="26" spans="1:21" ht="30">
      <c r="A26" s="2059"/>
      <c r="B26" s="2059"/>
      <c r="C26" s="2059"/>
      <c r="D26" s="2059"/>
      <c r="E26" s="2059"/>
      <c r="F26" s="2059"/>
      <c r="G26" s="2059"/>
      <c r="H26" s="2059"/>
      <c r="I26" s="2059"/>
      <c r="J26" s="2059"/>
      <c r="L26" s="1212" t="str">
        <f>+' II.4.Empr x No. de empl'!A4</f>
        <v>Rango de Empleados</v>
      </c>
      <c r="M26" s="1212" t="str">
        <f>+' II.4.Empr x No. de empl'!B4</f>
        <v>Empresas por rango</v>
      </c>
      <c r="N26" s="1212" t="str">
        <f>+' II.4.Empr x No. de empl'!C4</f>
        <v>% Empresas por rango</v>
      </c>
      <c r="O26" s="1212" t="str">
        <f>+' II.4.Empr x No. de empl'!D4</f>
        <v>Empleados por rango</v>
      </c>
      <c r="P26" s="1212" t="str">
        <f>+' II.4.Empr x No. de empl'!E4</f>
        <v>% Empleados por rango</v>
      </c>
      <c r="S26" s="461" t="s">
        <v>367</v>
      </c>
    </row>
    <row r="27" spans="1:21">
      <c r="A27" s="2059"/>
      <c r="B27" s="2059"/>
      <c r="C27" s="2059"/>
      <c r="D27" s="2059"/>
      <c r="E27" s="2059"/>
      <c r="F27" s="2059"/>
      <c r="G27" s="2059"/>
      <c r="H27" s="2059"/>
      <c r="I27" s="2059"/>
      <c r="J27" s="2059"/>
      <c r="L27" s="464" t="str">
        <f>+' II.4.Empr x No. de empl'!A5</f>
        <v xml:space="preserve">1 y 5 </v>
      </c>
      <c r="M27" s="465">
        <f>+' II.4.Empr x No. de empl'!B5</f>
        <v>69424</v>
      </c>
      <c r="N27" s="466">
        <f>+' II.4.Empr x No. de empl'!C5</f>
        <v>0.6182893377507036</v>
      </c>
      <c r="O27" s="465">
        <f>+' II.4.Empr x No. de empl'!D5</f>
        <v>173198</v>
      </c>
      <c r="P27" s="466">
        <f>+' II.4.Empr x No. de empl'!E5</f>
        <v>6.7789113928905936E-2</v>
      </c>
      <c r="Q27" s="325">
        <f>+P27+P28+P29</f>
        <v>0.18918547621032561</v>
      </c>
      <c r="S27" s="2060">
        <f>+O36/M36</f>
        <v>22.754381746286203</v>
      </c>
    </row>
    <row r="28" spans="1:21">
      <c r="A28" s="2059"/>
      <c r="B28" s="2059"/>
      <c r="C28" s="2059"/>
      <c r="D28" s="2059"/>
      <c r="E28" s="2059"/>
      <c r="F28" s="2059"/>
      <c r="G28" s="2059"/>
      <c r="H28" s="2059"/>
      <c r="I28" s="2059"/>
      <c r="J28" s="2059"/>
      <c r="L28" s="464" t="str">
        <f>+' II.4.Empr x No. de empl'!A6</f>
        <v xml:space="preserve"> 6 y 10 </v>
      </c>
      <c r="M28" s="465">
        <f>+' II.4.Empr x No. de empl'!B6</f>
        <v>19580</v>
      </c>
      <c r="N28" s="466">
        <f>+' II.4.Empr x No. de empl'!C6</f>
        <v>0.17437925260945461</v>
      </c>
      <c r="O28" s="465">
        <f>+' II.4.Empr x No. de empl'!D6</f>
        <v>148498</v>
      </c>
      <c r="P28" s="466">
        <f>+' II.4.Empr x No. de empl'!E6</f>
        <v>5.8121617109982066E-2</v>
      </c>
      <c r="Q28" s="325">
        <f>+N27+N28+N29</f>
        <v>0.8925670620925511</v>
      </c>
      <c r="S28" s="2060"/>
    </row>
    <row r="29" spans="1:21">
      <c r="A29" s="2059"/>
      <c r="B29" s="2059"/>
      <c r="C29" s="2059"/>
      <c r="D29" s="2059"/>
      <c r="E29" s="2059"/>
      <c r="F29" s="2059"/>
      <c r="G29" s="2059"/>
      <c r="H29" s="2059"/>
      <c r="I29" s="2059"/>
      <c r="J29" s="2059"/>
      <c r="L29" s="464" t="str">
        <f>+' II.4.Empr x No. de empl'!A7</f>
        <v xml:space="preserve"> 11 y 20  </v>
      </c>
      <c r="M29" s="465">
        <f>+' II.4.Empr x No. de empl'!B7</f>
        <v>11217</v>
      </c>
      <c r="N29" s="466">
        <f>+' II.4.Empr x No. de empl'!C7</f>
        <v>9.9898471732392857E-2</v>
      </c>
      <c r="O29" s="465">
        <f>+' II.4.Empr x No. de empl'!D7</f>
        <v>161664</v>
      </c>
      <c r="P29" s="466">
        <f>+' II.4.Empr x No. de empl'!E7</f>
        <v>6.3274745171437594E-2</v>
      </c>
      <c r="S29" s="2060"/>
    </row>
    <row r="30" spans="1:21">
      <c r="A30" s="2059"/>
      <c r="B30" s="2059"/>
      <c r="C30" s="2059"/>
      <c r="D30" s="2059"/>
      <c r="E30" s="2059"/>
      <c r="F30" s="2059"/>
      <c r="G30" s="2059"/>
      <c r="H30" s="2059"/>
      <c r="I30" s="2059"/>
      <c r="J30" s="2059"/>
      <c r="L30" s="464" t="str">
        <f>+' II.4.Empr x No. de empl'!A8</f>
        <v xml:space="preserve"> 21 y 50 </v>
      </c>
      <c r="M30" s="465">
        <f>+' II.4.Empr x No. de empl'!B8</f>
        <v>7596</v>
      </c>
      <c r="N30" s="466">
        <f>+' II.4.Empr x No. de empl'!C8</f>
        <v>6.7649887784546323E-2</v>
      </c>
      <c r="O30" s="465">
        <f>+' II.4.Empr x No. de empl'!D8</f>
        <v>240296</v>
      </c>
      <c r="P30" s="466">
        <f>+' II.4.Empr x No. de empl'!E8</f>
        <v>9.4051045165997188E-2</v>
      </c>
      <c r="S30" s="461" t="s">
        <v>368</v>
      </c>
    </row>
    <row r="31" spans="1:21">
      <c r="A31" s="2059"/>
      <c r="B31" s="2059"/>
      <c r="C31" s="2059"/>
      <c r="D31" s="2059"/>
      <c r="E31" s="2059"/>
      <c r="F31" s="2059"/>
      <c r="G31" s="2059"/>
      <c r="H31" s="2059"/>
      <c r="I31" s="2059"/>
      <c r="J31" s="2059"/>
      <c r="L31" s="464" t="str">
        <f>+' II.4.Empr x No. de empl'!A9</f>
        <v xml:space="preserve"> 51 y 100  </v>
      </c>
      <c r="M31" s="465">
        <f>+' II.4.Empr x No. de empl'!B9</f>
        <v>2083</v>
      </c>
      <c r="N31" s="466">
        <f>+' II.4.Empr x No. de empl'!C9</f>
        <v>1.8551173809269354E-2</v>
      </c>
      <c r="O31" s="465">
        <f>+' II.4.Empr x No. de empl'!D9</f>
        <v>146064</v>
      </c>
      <c r="P31" s="466">
        <f>+' II.4.Empr x No. de empl'!E9</f>
        <v>5.7168957706854096E-2</v>
      </c>
      <c r="S31" s="464" t="s">
        <v>273</v>
      </c>
      <c r="T31" s="1557">
        <f>2466473/108185</f>
        <v>22.798659703286038</v>
      </c>
    </row>
    <row r="32" spans="1:21" ht="14.25" customHeight="1">
      <c r="A32" s="2059"/>
      <c r="B32" s="2059"/>
      <c r="C32" s="2059"/>
      <c r="D32" s="2059"/>
      <c r="E32" s="2059"/>
      <c r="F32" s="2059"/>
      <c r="G32" s="2059"/>
      <c r="H32" s="2059"/>
      <c r="I32" s="2059"/>
      <c r="J32" s="2059"/>
      <c r="L32" s="464" t="str">
        <f>+' II.4.Empr x No. de empl'!A10</f>
        <v xml:space="preserve"> 101 y 500  </v>
      </c>
      <c r="M32" s="465">
        <f>+' II.4.Empr x No. de empl'!B10</f>
        <v>1827</v>
      </c>
      <c r="N32" s="466">
        <f>+' II.4.Empr x No. de empl'!C10</f>
        <v>1.6271240782302021E-2</v>
      </c>
      <c r="O32" s="465">
        <f>+' II.4.Empr x No. de empl'!D10</f>
        <v>383328</v>
      </c>
      <c r="P32" s="466">
        <f>+' II.4.Empr x No. de empl'!E10</f>
        <v>0.15003328828358095</v>
      </c>
      <c r="S32" s="464"/>
      <c r="T32" s="1557">
        <f>+T33-T31</f>
        <v>-4.4277956999835055E-2</v>
      </c>
      <c r="U32" s="400">
        <f>100*T32</f>
        <v>-4.4277956999835055</v>
      </c>
    </row>
    <row r="33" spans="1:20" ht="14.25" customHeight="1">
      <c r="A33" s="2059"/>
      <c r="B33" s="2059"/>
      <c r="C33" s="2059"/>
      <c r="D33" s="2059"/>
      <c r="E33" s="2059"/>
      <c r="F33" s="2059"/>
      <c r="G33" s="2059"/>
      <c r="H33" s="2059"/>
      <c r="I33" s="2059"/>
      <c r="J33" s="2059"/>
      <c r="L33" s="464" t="str">
        <f>+' II.4.Empr x No. de empl'!A11</f>
        <v xml:space="preserve"> 501 y 1,000 </v>
      </c>
      <c r="M33" s="465">
        <f>+' II.4.Empr x No. de empl'!B11</f>
        <v>278</v>
      </c>
      <c r="N33" s="466">
        <f>+' II.4.Empr x No. de empl'!C11</f>
        <v>2.4758647714723382E-3</v>
      </c>
      <c r="O33" s="465">
        <f>+' II.4.Empr x No. de empl'!D11</f>
        <v>199866</v>
      </c>
      <c r="P33" s="466">
        <f>+' II.4.Empr x No. de empl'!E11</f>
        <v>7.8226879320284951E-2</v>
      </c>
      <c r="S33" s="464" t="s">
        <v>369</v>
      </c>
      <c r="T33" s="1557">
        <f>+O36/M36</f>
        <v>22.754381746286203</v>
      </c>
    </row>
    <row r="34" spans="1:20" ht="14.25" customHeight="1">
      <c r="A34" s="2059"/>
      <c r="B34" s="2059"/>
      <c r="C34" s="2059"/>
      <c r="D34" s="2059"/>
      <c r="E34" s="2059"/>
      <c r="F34" s="2059"/>
      <c r="G34" s="2059"/>
      <c r="H34" s="2059"/>
      <c r="I34" s="2059"/>
      <c r="J34" s="2059"/>
      <c r="L34" s="464" t="str">
        <f>+' II.4.Empr x No. de empl'!A12</f>
        <v xml:space="preserve"> 1,001 y 10,000  </v>
      </c>
      <c r="M34" s="465">
        <f>+' II.4.Empr x No. de empl'!B12</f>
        <v>269</v>
      </c>
      <c r="N34" s="466">
        <f>+' II.4.Empr x No. de empl'!C12</f>
        <v>2.3957108759930178E-3</v>
      </c>
      <c r="O34" s="465">
        <f>+' II.4.Empr x No. de empl'!D12</f>
        <v>622771</v>
      </c>
      <c r="P34" s="466">
        <f>+' II.4.Empr x No. de empl'!E12</f>
        <v>0.24375047212218776</v>
      </c>
    </row>
    <row r="35" spans="1:20" ht="16.5" customHeight="1">
      <c r="A35" s="2059"/>
      <c r="B35" s="2059"/>
      <c r="C35" s="2059"/>
      <c r="D35" s="2059"/>
      <c r="E35" s="2059"/>
      <c r="F35" s="2059"/>
      <c r="G35" s="2059"/>
      <c r="H35" s="2059"/>
      <c r="I35" s="2059"/>
      <c r="J35" s="2059"/>
      <c r="L35" s="464" t="str">
        <f>+' II.4.Empr x No. de empl'!A13</f>
        <v xml:space="preserve"> Mas de 10,000 </v>
      </c>
      <c r="M35" s="465">
        <f>+' II.4.Empr x No. de empl'!B13</f>
        <v>10</v>
      </c>
      <c r="N35" s="466">
        <f>+' II.4.Empr x No. de empl'!C13</f>
        <v>8.9059883865911439E-5</v>
      </c>
      <c r="O35" s="465">
        <f>+' II.4.Empr x No. de empl'!D13</f>
        <v>479268</v>
      </c>
      <c r="P35" s="466">
        <f>+' II.4.Empr x No. de empl'!E13</f>
        <v>0.18758388119076946</v>
      </c>
      <c r="Q35" s="325">
        <f>+P35+P34</f>
        <v>0.43133435331295722</v>
      </c>
    </row>
    <row r="36" spans="1:20">
      <c r="A36" s="2059"/>
      <c r="B36" s="2059"/>
      <c r="C36" s="2059"/>
      <c r="D36" s="2059"/>
      <c r="E36" s="2059"/>
      <c r="F36" s="2059"/>
      <c r="G36" s="2059"/>
      <c r="H36" s="2059"/>
      <c r="I36" s="2059"/>
      <c r="J36" s="2059"/>
      <c r="L36" s="1213" t="str">
        <f>+' II.4.Empr x No. de empl'!A14</f>
        <v>Total</v>
      </c>
      <c r="M36" s="1214">
        <f>+' II.4.Empr x No. de empl'!B14</f>
        <v>112284</v>
      </c>
      <c r="N36" s="1215">
        <f>+' II.4.Empr x No. de empl'!C14</f>
        <v>1</v>
      </c>
      <c r="O36" s="1214">
        <f>+' II.4.Empr x No. de empl'!D14</f>
        <v>2554953</v>
      </c>
      <c r="P36" s="1215">
        <f>+' II.4.Empr x No. de empl'!E14</f>
        <v>1</v>
      </c>
    </row>
    <row r="37" spans="1:20">
      <c r="A37" s="2059"/>
      <c r="B37" s="2059"/>
      <c r="C37" s="2059"/>
      <c r="D37" s="2059"/>
      <c r="E37" s="2059"/>
      <c r="F37" s="2059"/>
      <c r="G37" s="2059"/>
      <c r="H37" s="2059"/>
      <c r="I37" s="2059"/>
      <c r="J37" s="2059"/>
    </row>
    <row r="41" spans="1:20">
      <c r="L41" s="400">
        <v>0</v>
      </c>
    </row>
  </sheetData>
  <mergeCells count="2">
    <mergeCell ref="A5:J37"/>
    <mergeCell ref="S27:S29"/>
  </mergeCells>
  <pageMargins left="0.70866141732283472" right="0.70866141732283472" top="0.74803149606299213" bottom="0.74803149606299213" header="0.31496062992125984" footer="0.31496062992125984"/>
  <pageSetup paperSize="119" scale="7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2">
    <tabColor theme="9" tint="-0.499984740745262"/>
    <pageSetUpPr fitToPage="1"/>
  </sheetPr>
  <dimension ref="A1:T40"/>
  <sheetViews>
    <sheetView showGridLines="0" view="pageBreakPreview" zoomScaleNormal="85" zoomScaleSheetLayoutView="100" workbookViewId="0">
      <selection activeCell="D22" sqref="D22"/>
    </sheetView>
  </sheetViews>
  <sheetFormatPr defaultColWidth="11.42578125" defaultRowHeight="45.75" customHeight="1"/>
  <cols>
    <col min="1" max="2" width="12.7109375" style="731" customWidth="1"/>
    <col min="3" max="3" width="11.28515625" style="731" customWidth="1"/>
    <col min="4" max="4" width="16.42578125" style="731" customWidth="1"/>
    <col min="5" max="5" width="14.140625" style="731" customWidth="1"/>
    <col min="6" max="6" width="12" style="731" customWidth="1"/>
    <col min="7" max="7" width="16.42578125" style="731" customWidth="1"/>
    <col min="8" max="8" width="14.140625" style="731" customWidth="1"/>
    <col min="9" max="9" width="16" style="731" customWidth="1"/>
    <col min="10" max="10" width="16.5703125" style="731" customWidth="1"/>
    <col min="11" max="11" width="13.85546875" style="731" customWidth="1"/>
    <col min="12" max="12" width="18" style="731" customWidth="1"/>
    <col min="13" max="15" width="9.5703125" style="731" customWidth="1"/>
    <col min="16" max="17" width="11.42578125" style="307"/>
    <col min="18" max="18" width="12.7109375" style="307" bestFit="1" customWidth="1"/>
    <col min="19" max="16384" width="11.42578125" style="307"/>
  </cols>
  <sheetData>
    <row r="1" spans="1:15" ht="40.5" customHeight="1">
      <c r="A1" s="2061" t="s">
        <v>370</v>
      </c>
      <c r="B1" s="2061"/>
      <c r="C1" s="2061"/>
      <c r="D1" s="2061"/>
      <c r="E1" s="2061"/>
      <c r="F1" s="2061"/>
      <c r="G1" s="2061"/>
      <c r="H1" s="2061"/>
      <c r="I1" s="2061"/>
      <c r="J1" s="2061"/>
      <c r="K1" s="2061"/>
      <c r="L1" s="2061"/>
      <c r="M1" s="1356"/>
      <c r="N1" s="1356"/>
      <c r="O1" s="1356"/>
    </row>
    <row r="2" spans="1:15" ht="24" customHeight="1">
      <c r="A2" s="2061" t="str">
        <f>+'Resumen '!O4</f>
        <v>Período:  Diciembre 2008 - Abril 2025</v>
      </c>
      <c r="B2" s="2061"/>
      <c r="C2" s="2061"/>
      <c r="D2" s="2061"/>
      <c r="E2" s="2061"/>
      <c r="F2" s="2061"/>
      <c r="G2" s="2061"/>
      <c r="H2" s="2061"/>
      <c r="I2" s="2061"/>
      <c r="J2" s="2061"/>
      <c r="K2" s="2061"/>
      <c r="L2" s="2061"/>
      <c r="M2" s="1356"/>
      <c r="N2" s="1356"/>
      <c r="O2" s="1356"/>
    </row>
    <row r="3" spans="1:15" ht="4.5" customHeight="1">
      <c r="A3" s="1351"/>
      <c r="B3" s="1351"/>
      <c r="C3" s="1351"/>
      <c r="D3" s="1351"/>
      <c r="E3" s="1351"/>
      <c r="F3" s="1351"/>
      <c r="G3" s="1351"/>
      <c r="H3" s="1351"/>
      <c r="I3" s="1351"/>
      <c r="J3" s="1351"/>
      <c r="K3" s="1351"/>
      <c r="L3" s="1351"/>
      <c r="M3" s="1356"/>
      <c r="N3" s="1356"/>
      <c r="O3" s="1356"/>
    </row>
    <row r="4" spans="1:15" s="328" customFormat="1" ht="52.5" customHeight="1">
      <c r="A4" s="1362" t="s">
        <v>371</v>
      </c>
      <c r="B4" s="1363" t="s">
        <v>372</v>
      </c>
      <c r="C4" s="1363" t="s">
        <v>373</v>
      </c>
      <c r="D4" s="1363" t="s">
        <v>374</v>
      </c>
      <c r="E4" s="1363" t="s">
        <v>375</v>
      </c>
      <c r="F4" s="1363" t="s">
        <v>376</v>
      </c>
      <c r="G4" s="1363" t="s">
        <v>377</v>
      </c>
      <c r="H4" s="1363" t="s">
        <v>378</v>
      </c>
      <c r="I4" s="1363" t="s">
        <v>379</v>
      </c>
      <c r="J4" s="1363" t="s">
        <v>380</v>
      </c>
      <c r="K4" s="1364" t="s">
        <v>381</v>
      </c>
      <c r="L4" s="1364" t="s">
        <v>382</v>
      </c>
      <c r="M4" s="1356"/>
      <c r="N4" s="1356"/>
      <c r="O4" s="1356"/>
    </row>
    <row r="5" spans="1:15" s="445" customFormat="1" ht="12.75" customHeight="1">
      <c r="A5" s="936" t="s">
        <v>383</v>
      </c>
      <c r="B5" s="1353">
        <v>41379</v>
      </c>
      <c r="C5" s="1353">
        <v>304</v>
      </c>
      <c r="D5" s="1353">
        <v>74</v>
      </c>
      <c r="E5" s="1354"/>
      <c r="F5" s="1360">
        <f t="shared" ref="F5:F19" si="0">SUM(B5:E5)</f>
        <v>41757</v>
      </c>
      <c r="G5" s="1357">
        <v>863333</v>
      </c>
      <c r="H5" s="1357">
        <v>123254</v>
      </c>
      <c r="I5" s="1357">
        <v>201642</v>
      </c>
      <c r="J5" s="1360">
        <f>SUM(G5:I5)+Tabla2[[#This Row],[Empresas y Empleados sin claficar]]</f>
        <v>1188229</v>
      </c>
      <c r="K5" s="1358">
        <f>+Tabla2[[#This Row],[Empresas Pendiente en Clasificar]]</f>
        <v>0</v>
      </c>
      <c r="L5" s="1361">
        <f t="shared" ref="L5:L20" si="1">J5/F5</f>
        <v>28.455803817324043</v>
      </c>
      <c r="M5" s="1356"/>
      <c r="N5" s="1356"/>
      <c r="O5" s="1356"/>
    </row>
    <row r="6" spans="1:15" s="445" customFormat="1" ht="12.75" customHeight="1">
      <c r="A6" s="936" t="s">
        <v>384</v>
      </c>
      <c r="B6" s="1353">
        <v>41179</v>
      </c>
      <c r="C6" s="1353">
        <v>412</v>
      </c>
      <c r="D6" s="1353">
        <v>80</v>
      </c>
      <c r="E6" s="1354"/>
      <c r="F6" s="1360">
        <f t="shared" si="0"/>
        <v>41671</v>
      </c>
      <c r="G6" s="1357">
        <v>869750</v>
      </c>
      <c r="H6" s="1357">
        <v>148220</v>
      </c>
      <c r="I6" s="1357">
        <v>209755</v>
      </c>
      <c r="J6" s="1360">
        <f>SUM(G6:I6)+Tabla2[[#This Row],[Empresas y Empleados sin claficar]]</f>
        <v>1227725</v>
      </c>
      <c r="K6" s="1358">
        <f>+Tabla2[[#This Row],[Empresas Pendiente en Clasificar]]</f>
        <v>0</v>
      </c>
      <c r="L6" s="1361">
        <f t="shared" si="1"/>
        <v>29.462335917064625</v>
      </c>
      <c r="M6" s="1356"/>
      <c r="N6" s="1356"/>
      <c r="O6" s="1356"/>
    </row>
    <row r="7" spans="1:15" s="445" customFormat="1" ht="12.75" customHeight="1">
      <c r="A7" s="936" t="s">
        <v>385</v>
      </c>
      <c r="B7" s="1353">
        <v>43682</v>
      </c>
      <c r="C7" s="1353">
        <v>418</v>
      </c>
      <c r="D7" s="1353">
        <v>79</v>
      </c>
      <c r="E7" s="1354"/>
      <c r="F7" s="1360">
        <f t="shared" si="0"/>
        <v>44179</v>
      </c>
      <c r="G7" s="1357">
        <v>943828</v>
      </c>
      <c r="H7" s="1357">
        <v>136553</v>
      </c>
      <c r="I7" s="1357">
        <v>218706</v>
      </c>
      <c r="J7" s="1360">
        <f>SUM(G7:I7)+Tabla2[[#This Row],[Empresas y Empleados sin claficar]]</f>
        <v>1299087</v>
      </c>
      <c r="K7" s="1358">
        <f>+Tabla2[[#This Row],[Empresas Pendiente en Clasificar]]</f>
        <v>0</v>
      </c>
      <c r="L7" s="1361">
        <f t="shared" si="1"/>
        <v>29.405079336336268</v>
      </c>
      <c r="M7" s="1356"/>
      <c r="N7" s="1356"/>
      <c r="O7" s="1356"/>
    </row>
    <row r="8" spans="1:15" s="445" customFormat="1" ht="12.75" customHeight="1">
      <c r="A8" s="936" t="s">
        <v>386</v>
      </c>
      <c r="B8" s="1353">
        <v>46674</v>
      </c>
      <c r="C8" s="1353">
        <v>469</v>
      </c>
      <c r="D8" s="1353">
        <v>79</v>
      </c>
      <c r="E8" s="1354"/>
      <c r="F8" s="1360">
        <f t="shared" si="0"/>
        <v>47222</v>
      </c>
      <c r="G8" s="1357">
        <v>996469</v>
      </c>
      <c r="H8" s="1357">
        <v>142319</v>
      </c>
      <c r="I8" s="1357">
        <v>225133</v>
      </c>
      <c r="J8" s="1360">
        <f>SUM(G8:I8)+Tabla2[[#This Row],[Empresas y Empleados sin claficar]]</f>
        <v>1363921</v>
      </c>
      <c r="K8" s="1358">
        <f>+Tabla2[[#This Row],[Empresas Pendiente en Clasificar]]</f>
        <v>0</v>
      </c>
      <c r="L8" s="1361">
        <f t="shared" si="1"/>
        <v>28.883168861971114</v>
      </c>
      <c r="M8" s="1356"/>
      <c r="N8" s="1356"/>
      <c r="O8" s="1356"/>
    </row>
    <row r="9" spans="1:15" s="445" customFormat="1" ht="12.75" customHeight="1">
      <c r="A9" s="936" t="s">
        <v>387</v>
      </c>
      <c r="B9" s="1353">
        <v>50784</v>
      </c>
      <c r="C9" s="1353">
        <v>488</v>
      </c>
      <c r="D9" s="1353">
        <v>79</v>
      </c>
      <c r="E9" s="1354"/>
      <c r="F9" s="1360">
        <f t="shared" si="0"/>
        <v>51351</v>
      </c>
      <c r="G9" s="1357">
        <v>1035050</v>
      </c>
      <c r="H9" s="1357">
        <v>156354</v>
      </c>
      <c r="I9" s="1357">
        <v>236498</v>
      </c>
      <c r="J9" s="1360">
        <f>SUM(G9:I9)+Tabla2[[#This Row],[Empresas y Empleados sin claficar]]</f>
        <v>1427902</v>
      </c>
      <c r="K9" s="1358">
        <f>+Tabla2[[#This Row],[Empresas Pendiente en Clasificar]]</f>
        <v>0</v>
      </c>
      <c r="L9" s="1361">
        <f t="shared" si="1"/>
        <v>27.806702887967127</v>
      </c>
      <c r="M9" s="1356"/>
      <c r="N9" s="1356"/>
      <c r="O9" s="1356"/>
    </row>
    <row r="10" spans="1:15" s="445" customFormat="1" ht="12.75" customHeight="1">
      <c r="A10" s="936" t="s">
        <v>388</v>
      </c>
      <c r="B10" s="1353">
        <v>58768</v>
      </c>
      <c r="C10" s="1353">
        <v>489</v>
      </c>
      <c r="D10" s="1353">
        <v>78</v>
      </c>
      <c r="E10" s="1354"/>
      <c r="F10" s="1360">
        <f t="shared" si="0"/>
        <v>59335</v>
      </c>
      <c r="G10" s="1357">
        <v>1110841</v>
      </c>
      <c r="H10" s="1357">
        <v>166811</v>
      </c>
      <c r="I10" s="1357">
        <v>249006</v>
      </c>
      <c r="J10" s="1360">
        <f>SUM(G10:I10)+Tabla2[[#This Row],[Empresas y Empleados sin claficar]]</f>
        <v>1526658</v>
      </c>
      <c r="K10" s="1358">
        <f>+Tabla2[[#This Row],[Empresas Pendiente en Clasificar]]</f>
        <v>0</v>
      </c>
      <c r="L10" s="1361">
        <f t="shared" si="1"/>
        <v>25.729468273363107</v>
      </c>
      <c r="M10" s="1356"/>
      <c r="N10" s="1356"/>
      <c r="O10" s="1356"/>
    </row>
    <row r="11" spans="1:15" s="445" customFormat="1" ht="12.75" customHeight="1">
      <c r="A11" s="936" t="s">
        <v>389</v>
      </c>
      <c r="B11" s="1353">
        <v>65073</v>
      </c>
      <c r="C11" s="1353">
        <v>519</v>
      </c>
      <c r="D11" s="1353">
        <v>74</v>
      </c>
      <c r="E11" s="1354"/>
      <c r="F11" s="1360">
        <f t="shared" si="0"/>
        <v>65666</v>
      </c>
      <c r="G11" s="1357">
        <v>1193568</v>
      </c>
      <c r="H11" s="1357">
        <v>176595</v>
      </c>
      <c r="I11" s="1357">
        <v>281039</v>
      </c>
      <c r="J11" s="1360">
        <f>SUM(G11:I11)+Tabla2[[#This Row],[Empresas y Empleados sin claficar]]</f>
        <v>1651202</v>
      </c>
      <c r="K11" s="1358">
        <f>+Tabla2[[#This Row],[Empresas Pendiente en Clasificar]]</f>
        <v>0</v>
      </c>
      <c r="L11" s="1361">
        <f t="shared" si="1"/>
        <v>25.145463405719855</v>
      </c>
      <c r="M11" s="1356"/>
      <c r="N11" s="1356"/>
      <c r="O11" s="1356"/>
    </row>
    <row r="12" spans="1:15" s="445" customFormat="1" ht="12.75" customHeight="1">
      <c r="A12" s="936" t="s">
        <v>390</v>
      </c>
      <c r="B12" s="1353">
        <v>69404</v>
      </c>
      <c r="C12" s="1353">
        <v>542</v>
      </c>
      <c r="D12" s="1353">
        <v>73</v>
      </c>
      <c r="E12" s="1354"/>
      <c r="F12" s="1360">
        <f t="shared" si="0"/>
        <v>70019</v>
      </c>
      <c r="G12" s="1357">
        <v>1268556</v>
      </c>
      <c r="H12" s="1357">
        <v>189220</v>
      </c>
      <c r="I12" s="1357">
        <v>301682</v>
      </c>
      <c r="J12" s="1360">
        <f>SUM(G12:I12)+Tabla2[[#This Row],[Empresas y Empleados sin claficar]]</f>
        <v>1759458</v>
      </c>
      <c r="K12" s="1358">
        <f>+Tabla2[[#This Row],[Empresas Pendiente en Clasificar]]</f>
        <v>0</v>
      </c>
      <c r="L12" s="1361">
        <f t="shared" si="1"/>
        <v>25.128293748839599</v>
      </c>
      <c r="M12" s="1356"/>
      <c r="N12" s="1356"/>
      <c r="O12" s="1356"/>
    </row>
    <row r="13" spans="1:15" s="445" customFormat="1" ht="12.75" customHeight="1">
      <c r="A13" s="936" t="s">
        <v>391</v>
      </c>
      <c r="B13" s="1353">
        <v>74225</v>
      </c>
      <c r="C13" s="1353">
        <v>524</v>
      </c>
      <c r="D13" s="1353">
        <v>73</v>
      </c>
      <c r="E13" s="1354"/>
      <c r="F13" s="1360">
        <f t="shared" si="0"/>
        <v>74822</v>
      </c>
      <c r="G13" s="1357">
        <v>1365808</v>
      </c>
      <c r="H13" s="1357">
        <v>234553</v>
      </c>
      <c r="I13" s="1357">
        <v>287877</v>
      </c>
      <c r="J13" s="1360">
        <f>SUM(G13:I13)+Tabla2[[#This Row],[Empresas y Empleados sin claficar]]</f>
        <v>1888238</v>
      </c>
      <c r="K13" s="1358">
        <f>+Tabla2[[#This Row],[Empresas Pendiente en Clasificar]]</f>
        <v>0</v>
      </c>
      <c r="L13" s="1361">
        <f t="shared" si="1"/>
        <v>25.236401058512204</v>
      </c>
      <c r="M13" s="1356"/>
      <c r="N13" s="1356"/>
      <c r="O13" s="1356"/>
    </row>
    <row r="14" spans="1:15" s="445" customFormat="1" ht="12.75" customHeight="1">
      <c r="A14" s="936" t="s">
        <v>392</v>
      </c>
      <c r="B14" s="1353">
        <v>78962</v>
      </c>
      <c r="C14" s="1353">
        <v>564</v>
      </c>
      <c r="D14" s="1353">
        <v>76</v>
      </c>
      <c r="E14" s="1354"/>
      <c r="F14" s="1360">
        <f t="shared" si="0"/>
        <v>79602</v>
      </c>
      <c r="G14" s="1357">
        <v>1446555</v>
      </c>
      <c r="H14" s="1357">
        <v>281553</v>
      </c>
      <c r="I14" s="1357">
        <v>322214</v>
      </c>
      <c r="J14" s="1360">
        <f>SUM(G14:I14)+Tabla2[[#This Row],[Empresas y Empleados sin claficar]]</f>
        <v>2050322</v>
      </c>
      <c r="K14" s="1358">
        <f>+Tabla2[[#This Row],[Empresas Pendiente en Clasificar]]</f>
        <v>0</v>
      </c>
      <c r="L14" s="1361">
        <f t="shared" si="1"/>
        <v>25.757166905354136</v>
      </c>
      <c r="M14" s="1356"/>
      <c r="N14" s="1356"/>
      <c r="O14" s="1356"/>
    </row>
    <row r="15" spans="1:15" s="445" customFormat="1" ht="12.75" customHeight="1">
      <c r="A15" s="936" t="s">
        <v>393</v>
      </c>
      <c r="B15" s="1353">
        <v>84840</v>
      </c>
      <c r="C15" s="1353">
        <v>597</v>
      </c>
      <c r="D15" s="1353">
        <v>76</v>
      </c>
      <c r="E15" s="1354"/>
      <c r="F15" s="1360">
        <f t="shared" si="0"/>
        <v>85513</v>
      </c>
      <c r="G15" s="1357">
        <v>1546593</v>
      </c>
      <c r="H15" s="1357">
        <v>294564</v>
      </c>
      <c r="I15" s="1357">
        <v>332833</v>
      </c>
      <c r="J15" s="1360">
        <f>SUM(G15:I15)+Tabla2[[#This Row],[Empresas y Empleados sin claficar]]</f>
        <v>2173990</v>
      </c>
      <c r="K15" s="1358">
        <f>+Tabla2[[#This Row],[Empresas Pendiente en Clasificar]]</f>
        <v>0</v>
      </c>
      <c r="L15" s="1361">
        <f t="shared" si="1"/>
        <v>25.422918152795482</v>
      </c>
      <c r="M15" s="1356"/>
      <c r="N15" s="1356"/>
      <c r="O15" s="1356"/>
    </row>
    <row r="16" spans="1:15" s="445" customFormat="1" ht="12.75" customHeight="1">
      <c r="A16" s="936" t="s">
        <v>394</v>
      </c>
      <c r="B16" s="1353">
        <v>90771</v>
      </c>
      <c r="C16" s="1353">
        <v>615</v>
      </c>
      <c r="D16" s="1353">
        <v>77</v>
      </c>
      <c r="E16" s="1354"/>
      <c r="F16" s="1360">
        <f t="shared" si="0"/>
        <v>91463</v>
      </c>
      <c r="G16" s="1357">
        <v>1600281</v>
      </c>
      <c r="H16" s="1357">
        <v>312660</v>
      </c>
      <c r="I16" s="1357">
        <v>342772</v>
      </c>
      <c r="J16" s="1360">
        <f>SUM(G16:I16)+Tabla2[[#This Row],[Empresas y Empleados sin claficar]]</f>
        <v>2255713</v>
      </c>
      <c r="K16" s="1358">
        <f>+Tabla2[[#This Row],[Empresas Pendiente en Clasificar]]</f>
        <v>0</v>
      </c>
      <c r="L16" s="1361">
        <f t="shared" si="1"/>
        <v>24.662573937001849</v>
      </c>
      <c r="M16" s="1356"/>
      <c r="N16" s="1356"/>
      <c r="O16" s="1356"/>
    </row>
    <row r="17" spans="1:20" s="445" customFormat="1" ht="12.75" customHeight="1">
      <c r="A17" s="936" t="s">
        <v>395</v>
      </c>
      <c r="B17" s="1353">
        <v>91648</v>
      </c>
      <c r="C17" s="1353">
        <v>599</v>
      </c>
      <c r="D17" s="1353">
        <v>76</v>
      </c>
      <c r="E17" s="1354"/>
      <c r="F17" s="1360">
        <f t="shared" si="0"/>
        <v>92323</v>
      </c>
      <c r="G17" s="1357">
        <v>1465738</v>
      </c>
      <c r="H17" s="1357">
        <v>321920</v>
      </c>
      <c r="I17" s="1357">
        <v>329392</v>
      </c>
      <c r="J17" s="1360">
        <f>SUM(G17:I17)+Tabla2[[#This Row],[Empresas y Empleados sin claficar]]</f>
        <v>2117050</v>
      </c>
      <c r="K17" s="1358">
        <f>+Tabla2[[#This Row],[Empresas Pendiente en Clasificar]]</f>
        <v>0</v>
      </c>
      <c r="L17" s="1361">
        <f t="shared" si="1"/>
        <v>22.930905624817218</v>
      </c>
      <c r="M17" s="1356"/>
      <c r="N17" s="1356"/>
      <c r="O17" s="1356"/>
    </row>
    <row r="18" spans="1:20" s="445" customFormat="1" ht="12.75" customHeight="1">
      <c r="A18" s="936" t="s">
        <v>396</v>
      </c>
      <c r="B18" s="1353">
        <v>103388</v>
      </c>
      <c r="C18" s="1353">
        <v>592</v>
      </c>
      <c r="D18" s="1353">
        <v>73</v>
      </c>
      <c r="E18" s="1353">
        <v>92</v>
      </c>
      <c r="F18" s="1360">
        <f t="shared" si="0"/>
        <v>104145</v>
      </c>
      <c r="G18" s="1357">
        <v>1659980</v>
      </c>
      <c r="H18" s="1357">
        <v>330733</v>
      </c>
      <c r="I18" s="1357">
        <v>361238</v>
      </c>
      <c r="J18" s="1360">
        <f>SUM(G18:I18)+Tabla2[[#This Row],[Empresas y Empleados sin claficar]]</f>
        <v>2352043</v>
      </c>
      <c r="K18" s="1358">
        <f>+Tabla2[[#This Row],[Empresas Pendiente en Clasificar]]</f>
        <v>92</v>
      </c>
      <c r="L18" s="1361">
        <f t="shared" si="1"/>
        <v>22.584310336550001</v>
      </c>
      <c r="M18" s="1356"/>
      <c r="N18" s="1356"/>
      <c r="O18" s="1356"/>
      <c r="R18" s="445" t="s">
        <v>1</v>
      </c>
    </row>
    <row r="19" spans="1:20" s="445" customFormat="1" ht="12.75" customHeight="1">
      <c r="A19" s="937" t="s">
        <v>397</v>
      </c>
      <c r="B19" s="1355">
        <v>98194</v>
      </c>
      <c r="C19" s="1355">
        <v>602</v>
      </c>
      <c r="D19" s="1355">
        <v>71</v>
      </c>
      <c r="E19" s="1353">
        <v>590</v>
      </c>
      <c r="F19" s="1360">
        <f t="shared" si="0"/>
        <v>99457</v>
      </c>
      <c r="G19" s="1359">
        <v>1664403</v>
      </c>
      <c r="H19" s="1359">
        <v>367589</v>
      </c>
      <c r="I19" s="1359">
        <v>372457</v>
      </c>
      <c r="J19" s="1360">
        <f>SUM(G19:I19)+Tabla2[[#This Row],[Empresas y Empleados sin claficar]]</f>
        <v>2405039</v>
      </c>
      <c r="K19" s="1358">
        <f>+Tabla2[[#This Row],[Empresas Pendiente en Clasificar]]</f>
        <v>590</v>
      </c>
      <c r="L19" s="1361">
        <f t="shared" si="1"/>
        <v>24.181696612606451</v>
      </c>
      <c r="M19" s="1356"/>
      <c r="N19" s="1356"/>
      <c r="O19" s="1356"/>
    </row>
    <row r="20" spans="1:20" s="445" customFormat="1" ht="12.75" customHeight="1">
      <c r="A20" s="937" t="s">
        <v>398</v>
      </c>
      <c r="B20" s="1355">
        <v>104505</v>
      </c>
      <c r="C20" s="1355">
        <v>601</v>
      </c>
      <c r="D20" s="1355">
        <v>70</v>
      </c>
      <c r="E20" s="1353">
        <v>0</v>
      </c>
      <c r="F20" s="1360">
        <f>SUM(B20:E20)</f>
        <v>105176</v>
      </c>
      <c r="G20" s="1359">
        <v>1715040</v>
      </c>
      <c r="H20" s="1359">
        <v>345736</v>
      </c>
      <c r="I20" s="1359">
        <v>385192</v>
      </c>
      <c r="J20" s="1360">
        <f>SUM(G20:I20)+Tabla2[[#This Row],[Empresas y Empleados sin claficar]]</f>
        <v>2445968</v>
      </c>
      <c r="K20" s="1358">
        <f>+Tabla2[[#This Row],[Empresas Pendiente en Clasificar]]</f>
        <v>0</v>
      </c>
      <c r="L20" s="1361">
        <f t="shared" si="1"/>
        <v>23.255951928196545</v>
      </c>
      <c r="M20" s="1356"/>
      <c r="N20" s="1356"/>
      <c r="O20" s="1356"/>
    </row>
    <row r="21" spans="1:20" s="445" customFormat="1" ht="12.75" customHeight="1">
      <c r="A21" s="937" t="s">
        <v>399</v>
      </c>
      <c r="B21" s="1355">
        <v>110144</v>
      </c>
      <c r="C21" s="1355">
        <v>595</v>
      </c>
      <c r="D21" s="1355">
        <v>69</v>
      </c>
      <c r="E21" s="1353">
        <v>0</v>
      </c>
      <c r="F21" s="1360">
        <v>110808</v>
      </c>
      <c r="G21" s="1359">
        <v>1760716</v>
      </c>
      <c r="H21" s="1359">
        <v>354880</v>
      </c>
      <c r="I21" s="1359">
        <v>399945</v>
      </c>
      <c r="J21" s="1360">
        <v>2515541</v>
      </c>
      <c r="K21" s="1358">
        <v>0</v>
      </c>
      <c r="L21" s="1361">
        <v>22.701799509060717</v>
      </c>
      <c r="M21" s="1356"/>
      <c r="N21" s="1356"/>
      <c r="O21" s="1356"/>
    </row>
    <row r="22" spans="1:20" s="445" customFormat="1" ht="12.75" customHeight="1">
      <c r="A22" s="937" t="str">
        <f>+'Resumen '!O5</f>
        <v>Abr.25</v>
      </c>
      <c r="B22" s="1355">
        <f>+'Resumen '!B10</f>
        <v>111636</v>
      </c>
      <c r="C22" s="1355">
        <f>+'Resumen '!B11</f>
        <v>580</v>
      </c>
      <c r="D22" s="1355">
        <f>+'Resumen '!B12</f>
        <v>68</v>
      </c>
      <c r="E22" s="1353"/>
      <c r="F22" s="1360">
        <f>SUM(B22:E22)</f>
        <v>112284</v>
      </c>
      <c r="G22" s="1359">
        <f>+'Resumen '!D10</f>
        <v>1799175</v>
      </c>
      <c r="H22" s="1359">
        <f>+'Resumen '!D11</f>
        <v>353558</v>
      </c>
      <c r="I22" s="1359">
        <f>+'Resumen '!D12</f>
        <v>402220</v>
      </c>
      <c r="J22" s="1360">
        <f>SUM(G22:I22)+Tabla2[[#This Row],[Empresas y Empleados sin claficar]]</f>
        <v>2554953</v>
      </c>
      <c r="K22" s="1358">
        <f>+Tabla2[[#This Row],[Empresas Pendiente en Clasificar]]</f>
        <v>0</v>
      </c>
      <c r="L22" s="1361">
        <f>J22/F22</f>
        <v>22.754381746286203</v>
      </c>
      <c r="M22" s="1356"/>
      <c r="N22" s="1356"/>
      <c r="O22" s="1356"/>
    </row>
    <row r="23" spans="1:20" s="938" customFormat="1" ht="32.25" customHeight="1" thickBot="1">
      <c r="A23" s="2062" t="s">
        <v>400</v>
      </c>
      <c r="B23" s="2063"/>
      <c r="C23" s="2063"/>
      <c r="D23" s="2063"/>
      <c r="E23" s="2063"/>
      <c r="F23" s="2063"/>
      <c r="G23" s="2063"/>
      <c r="H23" s="2063"/>
      <c r="I23" s="2063"/>
      <c r="J23" s="2063"/>
      <c r="K23" s="2063"/>
      <c r="L23" s="2063"/>
      <c r="M23" s="1356"/>
      <c r="N23" s="1356"/>
      <c r="O23" s="1356"/>
      <c r="P23" s="2070" t="s">
        <v>401</v>
      </c>
      <c r="Q23" s="2071"/>
      <c r="R23" s="2071"/>
      <c r="S23" s="2071"/>
      <c r="T23" s="2072"/>
    </row>
    <row r="24" spans="1:20" ht="64.5" customHeight="1">
      <c r="P24" s="2064" t="s">
        <v>402</v>
      </c>
      <c r="Q24" s="2065"/>
      <c r="R24" s="2065"/>
      <c r="S24" s="2065"/>
      <c r="T24" s="2066"/>
    </row>
    <row r="25" spans="1:20" ht="19.5" customHeight="1">
      <c r="P25" s="2064"/>
      <c r="Q25" s="2065"/>
      <c r="R25" s="2065"/>
      <c r="S25" s="2065"/>
      <c r="T25" s="2066"/>
    </row>
    <row r="26" spans="1:20" ht="19.5" customHeight="1">
      <c r="P26" s="2064"/>
      <c r="Q26" s="2065"/>
      <c r="R26" s="2065"/>
      <c r="S26" s="2065"/>
      <c r="T26" s="2066"/>
    </row>
    <row r="27" spans="1:20" ht="19.5" customHeight="1">
      <c r="P27" s="2064"/>
      <c r="Q27" s="2065"/>
      <c r="R27" s="2065"/>
      <c r="S27" s="2065"/>
      <c r="T27" s="2066"/>
    </row>
    <row r="28" spans="1:20" ht="19.5" customHeight="1">
      <c r="P28" s="2064"/>
      <c r="Q28" s="2065"/>
      <c r="R28" s="2065"/>
      <c r="S28" s="2065"/>
      <c r="T28" s="2066"/>
    </row>
    <row r="29" spans="1:20" ht="19.5" customHeight="1">
      <c r="P29" s="2064"/>
      <c r="Q29" s="2065"/>
      <c r="R29" s="2065"/>
      <c r="S29" s="2065"/>
      <c r="T29" s="2066"/>
    </row>
    <row r="30" spans="1:20" ht="19.5" customHeight="1">
      <c r="P30" s="2064"/>
      <c r="Q30" s="2065"/>
      <c r="R30" s="2065"/>
      <c r="S30" s="2065"/>
      <c r="T30" s="2066"/>
    </row>
    <row r="31" spans="1:20" ht="19.5" customHeight="1">
      <c r="P31" s="2064"/>
      <c r="Q31" s="2065"/>
      <c r="R31" s="2065"/>
      <c r="S31" s="2065"/>
      <c r="T31" s="2066"/>
    </row>
    <row r="32" spans="1:20" ht="19.5" customHeight="1">
      <c r="P32" s="2064"/>
      <c r="Q32" s="2065"/>
      <c r="R32" s="2065"/>
      <c r="S32" s="2065"/>
      <c r="T32" s="2066"/>
    </row>
    <row r="33" spans="16:20" ht="51" customHeight="1">
      <c r="P33" s="2067"/>
      <c r="Q33" s="2068"/>
      <c r="R33" s="2068"/>
      <c r="S33" s="2068"/>
      <c r="T33" s="2069"/>
    </row>
    <row r="34" spans="16:20" ht="37.5" customHeight="1"/>
    <row r="35" spans="16:20" ht="19.5" customHeight="1"/>
    <row r="36" spans="16:20" ht="19.5" customHeight="1"/>
    <row r="37" spans="16:20" ht="19.5" customHeight="1"/>
    <row r="38" spans="16:20" ht="19.5" customHeight="1"/>
    <row r="39" spans="16:20" ht="19.5" customHeight="1"/>
    <row r="40" spans="16:20" ht="19.5" customHeight="1"/>
  </sheetData>
  <mergeCells count="5">
    <mergeCell ref="A2:L2"/>
    <mergeCell ref="A1:L1"/>
    <mergeCell ref="A23:L23"/>
    <mergeCell ref="P24:T33"/>
    <mergeCell ref="P23:T23"/>
  </mergeCells>
  <conditionalFormatting sqref="B17:D22 G17:I22">
    <cfRule type="cellIs" dxfId="742" priority="3" operator="equal">
      <formula>0</formula>
    </cfRule>
  </conditionalFormatting>
  <pageMargins left="0.70866141732283472" right="0.70866141732283472" top="0.52" bottom="0.41" header="0.31496062992125984" footer="0.31496062992125984"/>
  <pageSetup scale="69"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tabColor theme="9" tint="-0.499984740745262"/>
    <pageSetUpPr fitToPage="1"/>
  </sheetPr>
  <dimension ref="A1:S50"/>
  <sheetViews>
    <sheetView showGridLines="0" view="pageBreakPreview" zoomScale="55" zoomScaleNormal="85" zoomScaleSheetLayoutView="55" workbookViewId="0">
      <selection activeCell="P35" sqref="P35"/>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1041" customWidth="1"/>
    <col min="12" max="16384" width="11.42578125" style="18"/>
  </cols>
  <sheetData>
    <row r="1" spans="1:11" ht="68.25" customHeight="1">
      <c r="A1" s="2074" t="s">
        <v>403</v>
      </c>
      <c r="B1" s="2074"/>
      <c r="C1" s="2074"/>
      <c r="D1" s="2074"/>
      <c r="E1" s="2074"/>
      <c r="F1" s="2074"/>
      <c r="G1" s="2074"/>
      <c r="H1" s="2074"/>
      <c r="I1" s="2074"/>
    </row>
    <row r="2" spans="1:11" ht="28.5" customHeight="1">
      <c r="A2" s="2075" t="str">
        <f>+'Resumen '!O3</f>
        <v>Período: Abril 2025</v>
      </c>
      <c r="B2" s="2075"/>
      <c r="C2" s="2075"/>
      <c r="D2" s="2075"/>
      <c r="E2" s="2075"/>
      <c r="F2" s="2075"/>
      <c r="G2" s="2075"/>
      <c r="H2" s="2075"/>
      <c r="I2" s="2075"/>
    </row>
    <row r="3" spans="1:11" ht="16.5" customHeight="1">
      <c r="A3" s="2073"/>
      <c r="B3" s="2073"/>
      <c r="C3" s="2073"/>
      <c r="D3" s="2073"/>
      <c r="E3" s="2073"/>
      <c r="F3" s="2073"/>
      <c r="G3" s="2073"/>
      <c r="H3" s="2073"/>
      <c r="I3" s="2073"/>
    </row>
    <row r="4" spans="1:11" s="62" customFormat="1" ht="49.5" customHeight="1">
      <c r="A4" s="712" t="s">
        <v>404</v>
      </c>
      <c r="B4" s="713" t="s">
        <v>405</v>
      </c>
      <c r="C4" s="713" t="s">
        <v>406</v>
      </c>
      <c r="D4" s="713" t="s">
        <v>407</v>
      </c>
      <c r="E4" s="714" t="s">
        <v>408</v>
      </c>
      <c r="F4" s="60"/>
      <c r="G4" s="60"/>
      <c r="H4" s="60"/>
      <c r="I4" s="60"/>
      <c r="J4" s="61"/>
      <c r="K4" s="1042"/>
    </row>
    <row r="5" spans="1:11" ht="19.5" customHeight="1">
      <c r="A5" s="715" t="s">
        <v>409</v>
      </c>
      <c r="B5" s="716">
        <f>+'Resumen '!L53</f>
        <v>69424</v>
      </c>
      <c r="C5" s="717">
        <f t="shared" ref="C5:C13" si="0">+B5/$B$14</f>
        <v>0.6182893377507036</v>
      </c>
      <c r="D5" s="716">
        <f>+'Resumen '!M53</f>
        <v>173198</v>
      </c>
      <c r="E5" s="718">
        <f>+D5/$D$14</f>
        <v>6.7789113928905936E-2</v>
      </c>
      <c r="F5" s="31"/>
      <c r="G5" s="31"/>
      <c r="H5" s="31"/>
      <c r="I5" s="31"/>
      <c r="J5" s="53"/>
    </row>
    <row r="6" spans="1:11" ht="19.5" customHeight="1">
      <c r="A6" s="715" t="s">
        <v>410</v>
      </c>
      <c r="B6" s="716">
        <f>+'Resumen '!L54</f>
        <v>19580</v>
      </c>
      <c r="C6" s="719">
        <f t="shared" si="0"/>
        <v>0.17437925260945461</v>
      </c>
      <c r="D6" s="716">
        <f>+'Resumen '!M54</f>
        <v>148498</v>
      </c>
      <c r="E6" s="720">
        <f t="shared" ref="E6:E12" si="1">+D6/$D$14</f>
        <v>5.8121617109982066E-2</v>
      </c>
      <c r="F6" s="31"/>
      <c r="G6" s="31"/>
      <c r="H6" s="31"/>
      <c r="I6" s="31"/>
      <c r="J6" s="53"/>
    </row>
    <row r="7" spans="1:11" ht="19.5" customHeight="1">
      <c r="A7" s="715" t="s">
        <v>411</v>
      </c>
      <c r="B7" s="716">
        <f>+'Resumen '!L55</f>
        <v>11217</v>
      </c>
      <c r="C7" s="719">
        <f t="shared" si="0"/>
        <v>9.9898471732392857E-2</v>
      </c>
      <c r="D7" s="716">
        <f>+'Resumen '!M55</f>
        <v>161664</v>
      </c>
      <c r="E7" s="720">
        <f t="shared" si="1"/>
        <v>6.3274745171437594E-2</v>
      </c>
      <c r="H7" s="31"/>
      <c r="I7" s="31"/>
      <c r="J7" s="53"/>
    </row>
    <row r="8" spans="1:11" ht="19.5" customHeight="1">
      <c r="A8" s="715" t="s">
        <v>412</v>
      </c>
      <c r="B8" s="716">
        <f>+'Resumen '!L56</f>
        <v>7596</v>
      </c>
      <c r="C8" s="719">
        <f t="shared" si="0"/>
        <v>6.7649887784546323E-2</v>
      </c>
      <c r="D8" s="716">
        <f>+'Resumen '!M56</f>
        <v>240296</v>
      </c>
      <c r="E8" s="720">
        <f t="shared" si="1"/>
        <v>9.4051045165997188E-2</v>
      </c>
      <c r="F8" s="54"/>
      <c r="G8" s="54"/>
      <c r="H8" s="54"/>
      <c r="I8" s="54"/>
      <c r="J8" s="53"/>
    </row>
    <row r="9" spans="1:11" ht="19.5" customHeight="1">
      <c r="A9" s="715" t="s">
        <v>413</v>
      </c>
      <c r="B9" s="716">
        <f>+'Resumen '!L57</f>
        <v>2083</v>
      </c>
      <c r="C9" s="719">
        <f t="shared" si="0"/>
        <v>1.8551173809269354E-2</v>
      </c>
      <c r="D9" s="716">
        <f>+'Resumen '!M57</f>
        <v>146064</v>
      </c>
      <c r="E9" s="720">
        <f t="shared" si="1"/>
        <v>5.7168957706854096E-2</v>
      </c>
      <c r="F9" s="55"/>
      <c r="G9" s="55"/>
      <c r="H9" s="55"/>
      <c r="I9" s="55"/>
      <c r="J9" s="53"/>
    </row>
    <row r="10" spans="1:11" ht="19.5" customHeight="1">
      <c r="A10" s="715" t="s">
        <v>414</v>
      </c>
      <c r="B10" s="716">
        <f>+'Resumen '!L58</f>
        <v>1827</v>
      </c>
      <c r="C10" s="719">
        <f t="shared" si="0"/>
        <v>1.6271240782302021E-2</v>
      </c>
      <c r="D10" s="716">
        <f>+'Resumen '!M58</f>
        <v>383328</v>
      </c>
      <c r="E10" s="720">
        <f t="shared" si="1"/>
        <v>0.15003328828358095</v>
      </c>
      <c r="F10" s="31"/>
      <c r="G10" s="31"/>
      <c r="H10" s="31"/>
      <c r="I10" s="31"/>
      <c r="J10" s="53"/>
    </row>
    <row r="11" spans="1:11" ht="19.5" customHeight="1">
      <c r="A11" s="715" t="s">
        <v>415</v>
      </c>
      <c r="B11" s="716">
        <f>+'Resumen '!L59</f>
        <v>278</v>
      </c>
      <c r="C11" s="719">
        <f t="shared" si="0"/>
        <v>2.4758647714723382E-3</v>
      </c>
      <c r="D11" s="716">
        <f>+'Resumen '!M59</f>
        <v>199866</v>
      </c>
      <c r="E11" s="720">
        <f t="shared" si="1"/>
        <v>7.8226879320284951E-2</v>
      </c>
      <c r="F11" s="31"/>
      <c r="G11" s="31"/>
      <c r="H11" s="31"/>
      <c r="I11" s="31"/>
      <c r="J11" s="53"/>
    </row>
    <row r="12" spans="1:11" ht="19.5" customHeight="1">
      <c r="A12" s="715" t="s">
        <v>416</v>
      </c>
      <c r="B12" s="716">
        <f>+'Resumen '!L60</f>
        <v>269</v>
      </c>
      <c r="C12" s="719">
        <f t="shared" si="0"/>
        <v>2.3957108759930178E-3</v>
      </c>
      <c r="D12" s="716">
        <f>+'Resumen '!M60</f>
        <v>622771</v>
      </c>
      <c r="E12" s="720">
        <f t="shared" si="1"/>
        <v>0.24375047212218776</v>
      </c>
      <c r="J12" s="55"/>
    </row>
    <row r="13" spans="1:11" ht="19.5" customHeight="1">
      <c r="A13" s="715" t="s">
        <v>417</v>
      </c>
      <c r="B13" s="716">
        <f>+'Resumen '!L61</f>
        <v>10</v>
      </c>
      <c r="C13" s="719">
        <f t="shared" si="0"/>
        <v>8.9059883865911439E-5</v>
      </c>
      <c r="D13" s="716">
        <f>+'Resumen '!M61</f>
        <v>479268</v>
      </c>
      <c r="E13" s="720">
        <f>+D13/$D$14</f>
        <v>0.18758388119076946</v>
      </c>
      <c r="F13" s="18" t="s">
        <v>1</v>
      </c>
      <c r="J13" s="53"/>
    </row>
    <row r="14" spans="1:11" ht="22.5" customHeight="1">
      <c r="A14" s="721" t="s">
        <v>235</v>
      </c>
      <c r="B14" s="722">
        <f>SUM(B5:B13)</f>
        <v>112284</v>
      </c>
      <c r="C14" s="723">
        <f>SUM(C5:C13)</f>
        <v>1</v>
      </c>
      <c r="D14" s="722">
        <f>SUM(D5:D13)</f>
        <v>2554953</v>
      </c>
      <c r="E14" s="724">
        <f>SUM(E5:E13)</f>
        <v>1</v>
      </c>
      <c r="J14" s="53"/>
    </row>
    <row r="16" spans="1:11" ht="23.25"/>
    <row r="17" spans="11:19" ht="23.25">
      <c r="K17" s="1041">
        <f>+B14-'II.3. Empl x sector '!F22</f>
        <v>0</v>
      </c>
    </row>
    <row r="19" spans="11:19" ht="13.5" customHeight="1">
      <c r="K19" s="1041">
        <f>+D14-'II.3. Empl x sector '!J22</f>
        <v>0</v>
      </c>
    </row>
    <row r="25" spans="11:19" ht="13.5" customHeight="1">
      <c r="K25" s="1405"/>
      <c r="L25" s="1405"/>
      <c r="M25" s="1405"/>
      <c r="N25" s="1405"/>
      <c r="O25" s="1405"/>
      <c r="P25" s="1405"/>
      <c r="Q25" s="1405"/>
      <c r="R25" s="1405"/>
      <c r="S25" s="1405"/>
    </row>
    <row r="26" spans="11:19" ht="13.5" customHeight="1">
      <c r="K26" s="1405"/>
      <c r="L26" s="1405"/>
      <c r="M26" s="1405"/>
      <c r="N26" s="1405"/>
      <c r="O26" s="1405"/>
      <c r="P26" s="1405"/>
      <c r="Q26" s="1405"/>
      <c r="R26" s="1405"/>
      <c r="S26" s="1405"/>
    </row>
    <row r="27" spans="11:19" ht="13.5" customHeight="1">
      <c r="K27" s="1405"/>
      <c r="L27" s="1405"/>
      <c r="M27" s="1405"/>
      <c r="N27" s="1405"/>
      <c r="O27" s="1405"/>
      <c r="P27" s="1405"/>
      <c r="Q27" s="1405"/>
      <c r="R27" s="1405"/>
      <c r="S27" s="1405"/>
    </row>
    <row r="28" spans="11:19" ht="13.5" customHeight="1">
      <c r="K28" s="1405"/>
      <c r="L28" s="1405"/>
      <c r="M28" s="1405"/>
      <c r="N28" s="1405"/>
      <c r="O28" s="1405"/>
      <c r="P28" s="1405"/>
      <c r="Q28" s="1405"/>
      <c r="R28" s="1405"/>
      <c r="S28" s="1405"/>
    </row>
    <row r="29" spans="11:19" ht="13.5" customHeight="1">
      <c r="K29" s="1405"/>
      <c r="L29" s="1405"/>
      <c r="M29" s="1405"/>
      <c r="N29" s="1405"/>
      <c r="O29" s="1405"/>
      <c r="P29" s="1405"/>
      <c r="Q29" s="1405"/>
      <c r="R29" s="1405"/>
      <c r="S29" s="1405"/>
    </row>
    <row r="30" spans="11:19" ht="13.5" customHeight="1">
      <c r="K30" s="1405"/>
      <c r="L30" s="1405"/>
      <c r="M30" s="1405"/>
      <c r="N30" s="1405"/>
      <c r="O30" s="1405"/>
      <c r="P30" s="1405"/>
      <c r="Q30" s="1405"/>
      <c r="R30" s="1405"/>
      <c r="S30" s="1405"/>
    </row>
    <row r="31" spans="11:19" ht="13.5" customHeight="1">
      <c r="K31" s="1405"/>
      <c r="L31" s="1405"/>
      <c r="M31" s="1405"/>
      <c r="N31" s="1405"/>
      <c r="O31" s="1405"/>
      <c r="P31" s="1405"/>
      <c r="Q31" s="1405"/>
      <c r="R31" s="1405"/>
      <c r="S31" s="1405"/>
    </row>
    <row r="32" spans="11:19" ht="13.5" customHeight="1">
      <c r="K32" s="1405"/>
      <c r="L32" s="1405"/>
      <c r="M32" s="1405"/>
      <c r="N32" s="1405"/>
      <c r="O32" s="1405"/>
      <c r="P32" s="1405"/>
      <c r="Q32" s="1405"/>
      <c r="R32" s="1405"/>
      <c r="S32" s="1405"/>
    </row>
    <row r="33" spans="11:19" ht="47.25" customHeight="1">
      <c r="K33" s="1405"/>
      <c r="L33" s="1405"/>
      <c r="M33" s="1405"/>
      <c r="N33" s="1405"/>
      <c r="O33" s="1405"/>
      <c r="P33" s="1405"/>
      <c r="Q33" s="1405"/>
      <c r="R33" s="1405"/>
      <c r="S33" s="1405"/>
    </row>
    <row r="34" spans="11:19" ht="13.5" customHeight="1">
      <c r="K34" s="1405"/>
      <c r="L34" s="1405"/>
      <c r="M34" s="1405"/>
      <c r="N34" s="1405"/>
      <c r="O34" s="1405"/>
      <c r="P34" s="1405"/>
      <c r="Q34" s="1405"/>
      <c r="R34" s="1405"/>
      <c r="S34" s="1405"/>
    </row>
    <row r="35" spans="11:19" ht="13.5" customHeight="1">
      <c r="K35" s="1405"/>
      <c r="L35" s="1405"/>
      <c r="M35" s="1405"/>
      <c r="N35" s="1405"/>
      <c r="O35" s="1405"/>
      <c r="P35" s="1405"/>
      <c r="Q35" s="1405"/>
      <c r="R35" s="1405"/>
      <c r="S35" s="1405"/>
    </row>
    <row r="36" spans="11:19" ht="13.5" customHeight="1">
      <c r="K36" s="1405"/>
      <c r="L36" s="1405"/>
      <c r="M36" s="1405"/>
      <c r="N36" s="1405"/>
      <c r="O36" s="1405"/>
      <c r="P36" s="1405"/>
      <c r="Q36" s="1405"/>
      <c r="R36" s="1405"/>
      <c r="S36" s="1405"/>
    </row>
    <row r="37" spans="11:19" ht="13.5" customHeight="1">
      <c r="K37" s="1405"/>
      <c r="L37" s="1405"/>
      <c r="M37" s="1405"/>
      <c r="N37" s="1405"/>
      <c r="O37" s="1405"/>
      <c r="P37" s="1405"/>
      <c r="Q37" s="1405"/>
      <c r="R37" s="1405"/>
      <c r="S37" s="1405"/>
    </row>
    <row r="38" spans="11:19" ht="13.5" customHeight="1">
      <c r="K38" s="1405"/>
      <c r="L38" s="1405"/>
      <c r="M38" s="1405"/>
      <c r="N38" s="1405"/>
      <c r="O38" s="1405"/>
      <c r="P38" s="1405"/>
      <c r="Q38" s="1405"/>
      <c r="R38" s="1405"/>
      <c r="S38" s="1405"/>
    </row>
    <row r="39" spans="11:19" ht="13.5" customHeight="1">
      <c r="K39" s="1405"/>
      <c r="L39" s="1405"/>
      <c r="M39" s="1405"/>
      <c r="N39" s="1405"/>
      <c r="O39" s="1405"/>
      <c r="P39" s="1405"/>
      <c r="Q39" s="1405"/>
      <c r="R39" s="1405"/>
      <c r="S39" s="1405"/>
    </row>
    <row r="40" spans="11:19" ht="13.5" customHeight="1">
      <c r="K40" s="1405"/>
      <c r="L40" s="1405"/>
      <c r="M40" s="1405"/>
      <c r="N40" s="1405"/>
      <c r="O40" s="1405"/>
      <c r="P40" s="1405"/>
      <c r="Q40" s="1405"/>
      <c r="R40" s="1405"/>
      <c r="S40" s="1405"/>
    </row>
    <row r="41" spans="11:19" ht="13.5" customHeight="1">
      <c r="K41" s="1405"/>
      <c r="L41" s="1405"/>
      <c r="M41" s="1405"/>
      <c r="N41" s="1405"/>
      <c r="O41" s="1405"/>
      <c r="P41" s="1405"/>
      <c r="Q41" s="1405"/>
      <c r="R41" s="1405"/>
      <c r="S41" s="1405"/>
    </row>
    <row r="42" spans="11:19" ht="13.5" customHeight="1">
      <c r="K42" s="1405"/>
      <c r="L42" s="1405"/>
      <c r="M42" s="1405"/>
      <c r="N42" s="1405"/>
      <c r="O42" s="1405"/>
      <c r="P42" s="1405"/>
      <c r="Q42" s="1405"/>
      <c r="R42" s="1405"/>
      <c r="S42" s="1405"/>
    </row>
    <row r="43" spans="11:19" ht="13.5" customHeight="1">
      <c r="K43" s="1405"/>
      <c r="L43" s="1405"/>
      <c r="M43" s="1405"/>
      <c r="N43" s="1405"/>
      <c r="O43" s="1405"/>
      <c r="P43" s="1405"/>
      <c r="Q43" s="1405"/>
      <c r="R43" s="1405"/>
      <c r="S43" s="1405"/>
    </row>
    <row r="44" spans="11:19" ht="13.5" customHeight="1">
      <c r="K44" s="1405"/>
      <c r="L44" s="1405"/>
      <c r="M44" s="1405"/>
      <c r="N44" s="1405"/>
      <c r="O44" s="1405"/>
      <c r="P44" s="1405"/>
      <c r="Q44" s="1405"/>
      <c r="R44" s="1405"/>
      <c r="S44" s="1405"/>
    </row>
    <row r="45" spans="11:19" ht="13.5" customHeight="1">
      <c r="K45" s="1405"/>
      <c r="L45" s="1405"/>
      <c r="M45" s="1405"/>
      <c r="N45" s="1405"/>
      <c r="O45" s="1405"/>
      <c r="P45" s="1405"/>
      <c r="Q45" s="1405"/>
      <c r="R45" s="1405"/>
      <c r="S45" s="1405"/>
    </row>
    <row r="46" spans="11:19" ht="13.5" customHeight="1">
      <c r="K46" s="1405"/>
      <c r="L46" s="1405"/>
      <c r="M46" s="1405"/>
      <c r="N46" s="1405"/>
      <c r="O46" s="1405"/>
      <c r="P46" s="1405"/>
      <c r="Q46" s="1405"/>
      <c r="R46" s="1405"/>
      <c r="S46" s="1405"/>
    </row>
    <row r="47" spans="11:19" ht="13.5" customHeight="1">
      <c r="K47" s="1405"/>
      <c r="L47" s="1405"/>
      <c r="M47" s="1405"/>
      <c r="N47" s="1405"/>
      <c r="O47" s="1405"/>
      <c r="P47" s="1405"/>
      <c r="Q47" s="1405"/>
      <c r="R47" s="1405"/>
      <c r="S47" s="1405"/>
    </row>
    <row r="48" spans="11:19" ht="13.5" customHeight="1">
      <c r="K48" s="1405"/>
      <c r="L48" s="1405"/>
      <c r="M48" s="1405"/>
      <c r="N48" s="1405"/>
      <c r="O48" s="1405"/>
      <c r="P48" s="1405"/>
      <c r="Q48" s="1405"/>
      <c r="R48" s="1405"/>
      <c r="S48" s="1405"/>
    </row>
    <row r="49" spans="11:19" ht="13.5" customHeight="1">
      <c r="K49" s="1405"/>
      <c r="L49" s="1405"/>
      <c r="M49" s="1405"/>
      <c r="N49" s="1405"/>
      <c r="O49" s="1405"/>
      <c r="P49" s="1405"/>
      <c r="Q49" s="1405"/>
      <c r="R49" s="1405"/>
      <c r="S49" s="1405"/>
    </row>
    <row r="50" spans="11:19" ht="13.5" customHeight="1">
      <c r="K50" s="1405"/>
      <c r="L50" s="1405"/>
      <c r="M50" s="1405"/>
      <c r="N50" s="1405"/>
      <c r="O50" s="1405"/>
      <c r="P50" s="1405"/>
      <c r="Q50" s="1405"/>
      <c r="R50" s="1405"/>
      <c r="S50" s="1405"/>
    </row>
  </sheetData>
  <mergeCells count="3">
    <mergeCell ref="A3:I3"/>
    <mergeCell ref="A1:I1"/>
    <mergeCell ref="A2:I2"/>
  </mergeCells>
  <conditionalFormatting sqref="A4:E10 B6:B13 D6:D13">
    <cfRule type="cellIs" dxfId="724" priority="1" operator="equal">
      <formula>0</formula>
    </cfRule>
  </conditionalFormatting>
  <conditionalFormatting sqref="B5:E13">
    <cfRule type="cellIs" dxfId="723" priority="2" operator="equal">
      <formula>0</formula>
    </cfRule>
  </conditionalFormatting>
  <pageMargins left="0.70866141732283472" right="0.70866141732283472" top="0.34" bottom="0.33" header="0.31496062992125984" footer="0.31496062992125984"/>
  <pageSetup paperSize="119" scale="54"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307"/>
    <col min="2" max="5" width="26.140625" style="329" customWidth="1"/>
    <col min="6" max="6" width="33" style="329" customWidth="1"/>
    <col min="7" max="13" width="19.42578125" style="329" customWidth="1"/>
    <col min="14" max="16384" width="11.42578125" style="307"/>
  </cols>
  <sheetData>
    <row r="5" spans="1:13" ht="24.75" customHeight="1"/>
    <row r="6" spans="1:13" ht="409.5" customHeight="1">
      <c r="A6" s="2076" t="s">
        <v>418</v>
      </c>
      <c r="B6" s="2076"/>
      <c r="C6" s="2076"/>
      <c r="D6" s="2076"/>
      <c r="E6" s="2076"/>
      <c r="F6" s="2076"/>
      <c r="G6" s="2076"/>
      <c r="H6" s="2076"/>
      <c r="I6" s="2076"/>
      <c r="J6" s="2076"/>
      <c r="K6" s="2076"/>
      <c r="L6" s="2076"/>
      <c r="M6" s="2076"/>
    </row>
    <row r="7" spans="1:13" ht="14.25">
      <c r="A7" s="2076"/>
      <c r="B7" s="2076"/>
      <c r="C7" s="2076"/>
      <c r="D7" s="2076"/>
      <c r="E7" s="2076"/>
      <c r="F7" s="2076"/>
      <c r="G7" s="2076"/>
      <c r="H7" s="2076"/>
      <c r="I7" s="2076"/>
      <c r="J7" s="2076"/>
      <c r="K7" s="2076"/>
      <c r="L7" s="2076"/>
      <c r="M7" s="2076"/>
    </row>
    <row r="8" spans="1:13" ht="14.25">
      <c r="A8" s="2076"/>
      <c r="B8" s="2076"/>
      <c r="C8" s="2076"/>
      <c r="D8" s="2076"/>
      <c r="E8" s="2076"/>
      <c r="F8" s="2076"/>
      <c r="G8" s="2076"/>
      <c r="H8" s="2076"/>
      <c r="I8" s="2076"/>
      <c r="J8" s="2076"/>
      <c r="K8" s="2076"/>
      <c r="L8" s="2076"/>
      <c r="M8" s="2076"/>
    </row>
    <row r="9" spans="1:13" ht="14.25">
      <c r="A9" s="2076"/>
      <c r="B9" s="2076"/>
      <c r="C9" s="2076"/>
      <c r="D9" s="2076"/>
      <c r="E9" s="2076"/>
      <c r="F9" s="2076"/>
      <c r="G9" s="2076"/>
      <c r="H9" s="2076"/>
      <c r="I9" s="2076"/>
      <c r="J9" s="2076"/>
      <c r="K9" s="2076"/>
      <c r="L9" s="2076"/>
      <c r="M9" s="2076"/>
    </row>
    <row r="10" spans="1:13" ht="14.25">
      <c r="A10" s="2076"/>
      <c r="B10" s="2076"/>
      <c r="C10" s="2076"/>
      <c r="D10" s="2076"/>
      <c r="E10" s="2076"/>
      <c r="F10" s="2076"/>
      <c r="G10" s="2076"/>
      <c r="H10" s="2076"/>
      <c r="I10" s="2076"/>
      <c r="J10" s="2076"/>
      <c r="K10" s="2076"/>
      <c r="L10" s="2076"/>
      <c r="M10" s="2076"/>
    </row>
    <row r="11" spans="1:13" ht="14.25">
      <c r="A11" s="2076"/>
      <c r="B11" s="2076"/>
      <c r="C11" s="2076"/>
      <c r="D11" s="2076"/>
      <c r="E11" s="2076"/>
      <c r="F11" s="2076"/>
      <c r="G11" s="2076"/>
      <c r="H11" s="2076"/>
      <c r="I11" s="2076"/>
      <c r="J11" s="2076"/>
      <c r="K11" s="2076"/>
      <c r="L11" s="2076"/>
      <c r="M11" s="2076"/>
    </row>
    <row r="12" spans="1:13" ht="14.25">
      <c r="A12" s="2076"/>
      <c r="B12" s="2076"/>
      <c r="C12" s="2076"/>
      <c r="D12" s="2076"/>
      <c r="E12" s="2076"/>
      <c r="F12" s="2076"/>
      <c r="G12" s="2076"/>
      <c r="H12" s="2076"/>
      <c r="I12" s="2076"/>
      <c r="J12" s="2076"/>
      <c r="K12" s="2076"/>
      <c r="L12" s="2076"/>
      <c r="M12" s="2076"/>
    </row>
    <row r="13" spans="1:13" ht="14.25">
      <c r="A13" s="2076"/>
      <c r="B13" s="2076"/>
      <c r="C13" s="2076"/>
      <c r="D13" s="2076"/>
      <c r="E13" s="2076"/>
      <c r="F13" s="2076"/>
      <c r="G13" s="2076"/>
      <c r="H13" s="2076"/>
      <c r="I13" s="2076"/>
      <c r="J13" s="2076"/>
      <c r="K13" s="2076"/>
      <c r="L13" s="2076"/>
      <c r="M13" s="2076"/>
    </row>
    <row r="14" spans="1:13" ht="14.25">
      <c r="A14" s="2076"/>
      <c r="B14" s="2076"/>
      <c r="C14" s="2076"/>
      <c r="D14" s="2076"/>
      <c r="E14" s="2076"/>
      <c r="F14" s="2076"/>
      <c r="G14" s="2076"/>
      <c r="H14" s="2076"/>
      <c r="I14" s="2076"/>
      <c r="J14" s="2076"/>
      <c r="K14" s="2076"/>
      <c r="L14" s="2076"/>
      <c r="M14" s="2076"/>
    </row>
    <row r="15" spans="1:13" ht="14.25">
      <c r="A15" s="2076"/>
      <c r="B15" s="2076"/>
      <c r="C15" s="2076"/>
      <c r="D15" s="2076"/>
      <c r="E15" s="2076"/>
      <c r="F15" s="2076"/>
      <c r="G15" s="2076"/>
      <c r="H15" s="2076"/>
      <c r="I15" s="2076"/>
      <c r="J15" s="2076"/>
      <c r="K15" s="2076"/>
      <c r="L15" s="2076"/>
      <c r="M15" s="2076"/>
    </row>
    <row r="16" spans="1:13" ht="14.25">
      <c r="A16" s="2076"/>
      <c r="B16" s="2076"/>
      <c r="C16" s="2076"/>
      <c r="D16" s="2076"/>
      <c r="E16" s="2076"/>
      <c r="F16" s="2076"/>
      <c r="G16" s="2076"/>
      <c r="H16" s="2076"/>
      <c r="I16" s="2076"/>
      <c r="J16" s="2076"/>
      <c r="K16" s="2076"/>
      <c r="L16" s="2076"/>
      <c r="M16" s="2076"/>
    </row>
    <row r="17" spans="1:13" ht="14.25">
      <c r="A17" s="2076"/>
      <c r="B17" s="2076"/>
      <c r="C17" s="2076"/>
      <c r="D17" s="2076"/>
      <c r="E17" s="2076"/>
      <c r="F17" s="2076"/>
      <c r="G17" s="2076"/>
      <c r="H17" s="2076"/>
      <c r="I17" s="2076"/>
      <c r="J17" s="2076"/>
      <c r="K17" s="2076"/>
      <c r="L17" s="2076"/>
      <c r="M17" s="2076"/>
    </row>
    <row r="18" spans="1:13" ht="14.25">
      <c r="A18" s="2076"/>
      <c r="B18" s="2076"/>
      <c r="C18" s="2076"/>
      <c r="D18" s="2076"/>
      <c r="E18" s="2076"/>
      <c r="F18" s="2076"/>
      <c r="G18" s="2076"/>
      <c r="H18" s="2076"/>
      <c r="I18" s="2076"/>
      <c r="J18" s="2076"/>
      <c r="K18" s="2076"/>
      <c r="L18" s="2076"/>
      <c r="M18" s="2076"/>
    </row>
    <row r="19" spans="1:13" ht="14.25">
      <c r="A19" s="2076"/>
      <c r="B19" s="2076"/>
      <c r="C19" s="2076"/>
      <c r="D19" s="2076"/>
      <c r="E19" s="2076"/>
      <c r="F19" s="2076"/>
      <c r="G19" s="2076"/>
      <c r="H19" s="2076"/>
      <c r="I19" s="2076"/>
      <c r="J19" s="2076"/>
      <c r="K19" s="2076"/>
      <c r="L19" s="2076"/>
      <c r="M19" s="2076"/>
    </row>
    <row r="20" spans="1:13" ht="14.25">
      <c r="A20" s="2076"/>
      <c r="B20" s="2076"/>
      <c r="C20" s="2076"/>
      <c r="D20" s="2076"/>
      <c r="E20" s="2076"/>
      <c r="F20" s="2076"/>
      <c r="G20" s="2076"/>
      <c r="H20" s="2076"/>
      <c r="I20" s="2076"/>
      <c r="J20" s="2076"/>
      <c r="K20" s="2076"/>
      <c r="L20" s="2076"/>
      <c r="M20" s="2076"/>
    </row>
    <row r="21" spans="1:13" ht="14.25">
      <c r="A21" s="2076"/>
      <c r="B21" s="2076"/>
      <c r="C21" s="2076"/>
      <c r="D21" s="2076"/>
      <c r="E21" s="2076"/>
      <c r="F21" s="2076"/>
      <c r="G21" s="2076"/>
      <c r="H21" s="2076"/>
      <c r="I21" s="2076"/>
      <c r="J21" s="2076"/>
      <c r="K21" s="2076"/>
      <c r="L21" s="2076"/>
      <c r="M21" s="2076"/>
    </row>
    <row r="22" spans="1:13" ht="14.25">
      <c r="A22" s="2076"/>
      <c r="B22" s="2076"/>
      <c r="C22" s="2076"/>
      <c r="D22" s="2076"/>
      <c r="E22" s="2076"/>
      <c r="F22" s="2076"/>
      <c r="G22" s="2076"/>
      <c r="H22" s="2076"/>
      <c r="I22" s="2076"/>
      <c r="J22" s="2076"/>
      <c r="K22" s="2076"/>
      <c r="L22" s="2076"/>
      <c r="M22" s="2076"/>
    </row>
    <row r="23" spans="1:13" ht="14.25">
      <c r="A23" s="2076"/>
      <c r="B23" s="2076"/>
      <c r="C23" s="2076"/>
      <c r="D23" s="2076"/>
      <c r="E23" s="2076"/>
      <c r="F23" s="2076"/>
      <c r="G23" s="2076"/>
      <c r="H23" s="2076"/>
      <c r="I23" s="2076"/>
      <c r="J23" s="2076"/>
      <c r="K23" s="2076"/>
      <c r="L23" s="2076"/>
      <c r="M23" s="2076"/>
    </row>
    <row r="24" spans="1:13" ht="14.25">
      <c r="A24" s="2076"/>
      <c r="B24" s="2076"/>
      <c r="C24" s="2076"/>
      <c r="D24" s="2076"/>
      <c r="E24" s="2076"/>
      <c r="F24" s="2076"/>
      <c r="G24" s="2076"/>
      <c r="H24" s="2076"/>
      <c r="I24" s="2076"/>
      <c r="J24" s="2076"/>
      <c r="K24" s="2076"/>
      <c r="L24" s="2076"/>
      <c r="M24" s="2076"/>
    </row>
    <row r="25" spans="1:13" ht="14.25">
      <c r="A25" s="2076"/>
      <c r="B25" s="2076"/>
      <c r="C25" s="2076"/>
      <c r="D25" s="2076"/>
      <c r="E25" s="2076"/>
      <c r="F25" s="2076"/>
      <c r="G25" s="2076"/>
      <c r="H25" s="2076"/>
      <c r="I25" s="2076"/>
      <c r="J25" s="2076"/>
      <c r="K25" s="2076"/>
      <c r="L25" s="2076"/>
      <c r="M25" s="2076"/>
    </row>
    <row r="26" spans="1:13" ht="14.25">
      <c r="A26" s="2076"/>
      <c r="B26" s="2076"/>
      <c r="C26" s="2076"/>
      <c r="D26" s="2076"/>
      <c r="E26" s="2076"/>
      <c r="F26" s="2076"/>
      <c r="G26" s="2076"/>
      <c r="H26" s="2076"/>
      <c r="I26" s="2076"/>
      <c r="J26" s="2076"/>
      <c r="K26" s="2076"/>
      <c r="L26" s="2076"/>
      <c r="M26" s="2076"/>
    </row>
    <row r="27" spans="1:13" ht="14.25">
      <c r="A27" s="2076"/>
      <c r="B27" s="2076"/>
      <c r="C27" s="2076"/>
      <c r="D27" s="2076"/>
      <c r="E27" s="2076"/>
      <c r="F27" s="2076"/>
      <c r="G27" s="2076"/>
      <c r="H27" s="2076"/>
      <c r="I27" s="2076"/>
      <c r="J27" s="2076"/>
      <c r="K27" s="2076"/>
      <c r="L27" s="2076"/>
      <c r="M27" s="2076"/>
    </row>
    <row r="28" spans="1:13" ht="14.25">
      <c r="A28" s="2076"/>
      <c r="B28" s="2076"/>
      <c r="C28" s="2076"/>
      <c r="D28" s="2076"/>
      <c r="E28" s="2076"/>
      <c r="F28" s="2076"/>
      <c r="G28" s="2076"/>
      <c r="H28" s="2076"/>
      <c r="I28" s="2076"/>
      <c r="J28" s="2076"/>
      <c r="K28" s="2076"/>
      <c r="L28" s="2076"/>
      <c r="M28" s="2076"/>
    </row>
    <row r="29" spans="1:13" ht="14.25">
      <c r="A29" s="2076"/>
      <c r="B29" s="2076"/>
      <c r="C29" s="2076"/>
      <c r="D29" s="2076"/>
      <c r="E29" s="2076"/>
      <c r="F29" s="2076"/>
      <c r="G29" s="2076"/>
      <c r="H29" s="2076"/>
      <c r="I29" s="2076"/>
      <c r="J29" s="2076"/>
      <c r="K29" s="2076"/>
      <c r="L29" s="2076"/>
      <c r="M29" s="2076"/>
    </row>
    <row r="30" spans="1:13" ht="14.25">
      <c r="A30" s="2076"/>
      <c r="B30" s="2076"/>
      <c r="C30" s="2076"/>
      <c r="D30" s="2076"/>
      <c r="E30" s="2076"/>
      <c r="F30" s="2076"/>
      <c r="G30" s="2076"/>
      <c r="H30" s="2076"/>
      <c r="I30" s="2076"/>
      <c r="J30" s="2076"/>
      <c r="K30" s="2076"/>
      <c r="L30" s="2076"/>
      <c r="M30" s="2076"/>
    </row>
    <row r="31" spans="1:13" ht="14.25">
      <c r="A31" s="2076"/>
      <c r="B31" s="2076"/>
      <c r="C31" s="2076"/>
      <c r="D31" s="2076"/>
      <c r="E31" s="2076"/>
      <c r="F31" s="2076"/>
      <c r="G31" s="2076"/>
      <c r="H31" s="2076"/>
      <c r="I31" s="2076"/>
      <c r="J31" s="2076"/>
      <c r="K31" s="2076"/>
      <c r="L31" s="2076"/>
      <c r="M31" s="2076"/>
    </row>
    <row r="32" spans="1:13" ht="14.25">
      <c r="A32" s="2076"/>
      <c r="B32" s="2076"/>
      <c r="C32" s="2076"/>
      <c r="D32" s="2076"/>
      <c r="E32" s="2076"/>
      <c r="F32" s="2076"/>
      <c r="G32" s="2076"/>
      <c r="H32" s="2076"/>
      <c r="I32" s="2076"/>
      <c r="J32" s="2076"/>
      <c r="K32" s="2076"/>
      <c r="L32" s="2076"/>
      <c r="M32" s="2076"/>
    </row>
    <row r="33" spans="1:13" ht="14.25">
      <c r="A33" s="2076"/>
      <c r="B33" s="2076"/>
      <c r="C33" s="2076"/>
      <c r="D33" s="2076"/>
      <c r="E33" s="2076"/>
      <c r="F33" s="2076"/>
      <c r="G33" s="2076"/>
      <c r="H33" s="2076"/>
      <c r="I33" s="2076"/>
      <c r="J33" s="2076"/>
      <c r="K33" s="2076"/>
      <c r="L33" s="2076"/>
      <c r="M33" s="2076"/>
    </row>
    <row r="34" spans="1:13" ht="14.25">
      <c r="A34" s="2076"/>
      <c r="B34" s="2076"/>
      <c r="C34" s="2076"/>
      <c r="D34" s="2076"/>
      <c r="E34" s="2076"/>
      <c r="F34" s="2076"/>
      <c r="G34" s="2076"/>
      <c r="H34" s="2076"/>
      <c r="I34" s="2076"/>
      <c r="J34" s="2076"/>
      <c r="K34" s="2076"/>
      <c r="L34" s="2076"/>
      <c r="M34" s="2076"/>
    </row>
    <row r="35" spans="1:13" ht="14.25">
      <c r="A35" s="2076"/>
      <c r="B35" s="2076"/>
      <c r="C35" s="2076"/>
      <c r="D35" s="2076"/>
      <c r="E35" s="2076"/>
      <c r="F35" s="2076"/>
      <c r="G35" s="2076"/>
      <c r="H35" s="2076"/>
      <c r="I35" s="2076"/>
      <c r="J35" s="2076"/>
      <c r="K35" s="2076"/>
      <c r="L35" s="2076"/>
      <c r="M35" s="2076"/>
    </row>
    <row r="36" spans="1:13" ht="14.25">
      <c r="A36" s="2076"/>
      <c r="B36" s="2076"/>
      <c r="C36" s="2076"/>
      <c r="D36" s="2076"/>
      <c r="E36" s="2076"/>
      <c r="F36" s="2076"/>
      <c r="G36" s="2076"/>
      <c r="H36" s="2076"/>
      <c r="I36" s="2076"/>
      <c r="J36" s="2076"/>
      <c r="K36" s="2076"/>
      <c r="L36" s="2076"/>
      <c r="M36" s="2076"/>
    </row>
    <row r="37" spans="1:13" ht="14.25">
      <c r="A37" s="2076"/>
      <c r="B37" s="2076"/>
      <c r="C37" s="2076"/>
      <c r="D37" s="2076"/>
      <c r="E37" s="2076"/>
      <c r="F37" s="2076"/>
      <c r="G37" s="2076"/>
      <c r="H37" s="2076"/>
      <c r="I37" s="2076"/>
      <c r="J37" s="2076"/>
      <c r="K37" s="2076"/>
      <c r="L37" s="2076"/>
      <c r="M37" s="2076"/>
    </row>
    <row r="38" spans="1:13" ht="14.25">
      <c r="A38" s="2076"/>
      <c r="B38" s="2076"/>
      <c r="C38" s="2076"/>
      <c r="D38" s="2076"/>
      <c r="E38" s="2076"/>
      <c r="F38" s="2076"/>
      <c r="G38" s="2076"/>
      <c r="H38" s="2076"/>
      <c r="I38" s="2076"/>
      <c r="J38" s="2076"/>
      <c r="K38" s="2076"/>
      <c r="L38" s="2076"/>
      <c r="M38" s="2076"/>
    </row>
    <row r="39" spans="1:13" ht="14.25">
      <c r="A39" s="2076"/>
      <c r="B39" s="2076"/>
      <c r="C39" s="2076"/>
      <c r="D39" s="2076"/>
      <c r="E39" s="2076"/>
      <c r="F39" s="2076"/>
      <c r="G39" s="2076"/>
      <c r="H39" s="2076"/>
      <c r="I39" s="2076"/>
      <c r="J39" s="2076"/>
      <c r="K39" s="2076"/>
      <c r="L39" s="2076"/>
      <c r="M39" s="2076"/>
    </row>
    <row r="40" spans="1:13" ht="14.25">
      <c r="A40" s="2076"/>
      <c r="B40" s="2076"/>
      <c r="C40" s="2076"/>
      <c r="D40" s="2076"/>
      <c r="E40" s="2076"/>
      <c r="F40" s="2076"/>
      <c r="G40" s="2076"/>
      <c r="H40" s="2076"/>
      <c r="I40" s="2076"/>
      <c r="J40" s="2076"/>
      <c r="K40" s="2076"/>
      <c r="L40" s="2076"/>
      <c r="M40" s="2076"/>
    </row>
    <row r="41" spans="1:13" ht="14.25">
      <c r="A41" s="2076"/>
      <c r="B41" s="2076"/>
      <c r="C41" s="2076"/>
      <c r="D41" s="2076"/>
      <c r="E41" s="2076"/>
      <c r="F41" s="2076"/>
      <c r="G41" s="2076"/>
      <c r="H41" s="2076"/>
      <c r="I41" s="2076"/>
      <c r="J41" s="2076"/>
      <c r="K41" s="2076"/>
      <c r="L41" s="2076"/>
      <c r="M41" s="2076"/>
    </row>
    <row r="42" spans="1:13" ht="64.5" customHeight="1">
      <c r="A42" s="2076"/>
      <c r="B42" s="2076"/>
      <c r="C42" s="2076"/>
      <c r="D42" s="2076"/>
      <c r="E42" s="2076"/>
      <c r="F42" s="2076"/>
      <c r="G42" s="2076"/>
      <c r="H42" s="2076"/>
      <c r="I42" s="2076"/>
      <c r="J42" s="2076"/>
      <c r="K42" s="2076"/>
      <c r="L42" s="2076"/>
      <c r="M42" s="2076"/>
    </row>
    <row r="43" spans="1:13" ht="171" customHeight="1">
      <c r="A43" s="2076"/>
      <c r="B43" s="2076"/>
      <c r="C43" s="2076"/>
      <c r="D43" s="2076"/>
      <c r="E43" s="2076"/>
      <c r="F43" s="2076"/>
      <c r="G43" s="2076"/>
      <c r="H43" s="2076"/>
      <c r="I43" s="2076"/>
      <c r="J43" s="2076"/>
      <c r="K43" s="2076"/>
      <c r="L43" s="2076"/>
      <c r="M43" s="2076"/>
    </row>
  </sheetData>
  <mergeCells count="1">
    <mergeCell ref="A6:M43"/>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8">
    <tabColor theme="8" tint="-0.249977111117893"/>
    <pageSetUpPr fitToPage="1"/>
  </sheetPr>
  <dimension ref="A2:R51"/>
  <sheetViews>
    <sheetView showGridLines="0" view="pageBreakPreview" topLeftCell="A5" zoomScale="40" zoomScaleNormal="100" zoomScaleSheetLayoutView="40" workbookViewId="0">
      <selection activeCell="A5" sqref="A5"/>
    </sheetView>
  </sheetViews>
  <sheetFormatPr defaultColWidth="11.42578125" defaultRowHeight="14.25"/>
  <cols>
    <col min="1" max="1" width="11.42578125" style="307"/>
    <col min="2" max="3" width="13.7109375" style="307" customWidth="1"/>
    <col min="4" max="9" width="40.42578125" style="307" customWidth="1"/>
    <col min="10" max="10" width="24.140625" style="307" customWidth="1"/>
    <col min="11" max="12" width="22" style="307" customWidth="1"/>
    <col min="13" max="13" width="17.85546875" style="307" customWidth="1"/>
    <col min="14" max="16384" width="11.42578125" style="307"/>
  </cols>
  <sheetData>
    <row r="2" spans="1:13" ht="21.75" customHeight="1"/>
    <row r="3" spans="1:13" ht="36.75" customHeight="1"/>
    <row r="4" spans="1:13" ht="22.5" customHeight="1"/>
    <row r="5" spans="1:13">
      <c r="A5" s="2077" t="s">
        <v>419</v>
      </c>
      <c r="B5" s="2078"/>
      <c r="C5" s="2078"/>
      <c r="D5" s="2078"/>
      <c r="E5" s="2078"/>
      <c r="F5" s="2078"/>
      <c r="G5" s="2078"/>
      <c r="H5" s="2078"/>
      <c r="I5" s="2078"/>
      <c r="J5" s="2078"/>
      <c r="K5" s="2078"/>
      <c r="L5" s="2078"/>
      <c r="M5" s="2078"/>
    </row>
    <row r="6" spans="1:13">
      <c r="A6" s="2078"/>
      <c r="B6" s="2078"/>
      <c r="C6" s="2078"/>
      <c r="D6" s="2078"/>
      <c r="E6" s="2078"/>
      <c r="F6" s="2078"/>
      <c r="G6" s="2078"/>
      <c r="H6" s="2078"/>
      <c r="I6" s="2078"/>
      <c r="J6" s="2078"/>
      <c r="K6" s="2078"/>
      <c r="L6" s="2078"/>
      <c r="M6" s="2078"/>
    </row>
    <row r="7" spans="1:13">
      <c r="A7" s="2078"/>
      <c r="B7" s="2078"/>
      <c r="C7" s="2078"/>
      <c r="D7" s="2078"/>
      <c r="E7" s="2078"/>
      <c r="F7" s="2078"/>
      <c r="G7" s="2078"/>
      <c r="H7" s="2078"/>
      <c r="I7" s="2078"/>
      <c r="J7" s="2078"/>
      <c r="K7" s="2078"/>
      <c r="L7" s="2078"/>
      <c r="M7" s="2078"/>
    </row>
    <row r="8" spans="1:13">
      <c r="A8" s="2078"/>
      <c r="B8" s="2078"/>
      <c r="C8" s="2078"/>
      <c r="D8" s="2078"/>
      <c r="E8" s="2078"/>
      <c r="F8" s="2078"/>
      <c r="G8" s="2078"/>
      <c r="H8" s="2078"/>
      <c r="I8" s="2078"/>
      <c r="J8" s="2078"/>
      <c r="K8" s="2078"/>
      <c r="L8" s="2078"/>
      <c r="M8" s="2078"/>
    </row>
    <row r="9" spans="1:13">
      <c r="A9" s="2078"/>
      <c r="B9" s="2078"/>
      <c r="C9" s="2078"/>
      <c r="D9" s="2078"/>
      <c r="E9" s="2078"/>
      <c r="F9" s="2078"/>
      <c r="G9" s="2078"/>
      <c r="H9" s="2078"/>
      <c r="I9" s="2078"/>
      <c r="J9" s="2078"/>
      <c r="K9" s="2078"/>
      <c r="L9" s="2078"/>
      <c r="M9" s="2078"/>
    </row>
    <row r="10" spans="1:13">
      <c r="A10" s="2078"/>
      <c r="B10" s="2078"/>
      <c r="C10" s="2078"/>
      <c r="D10" s="2078"/>
      <c r="E10" s="2078"/>
      <c r="F10" s="2078"/>
      <c r="G10" s="2078"/>
      <c r="H10" s="2078"/>
      <c r="I10" s="2078"/>
      <c r="J10" s="2078"/>
      <c r="K10" s="2078"/>
      <c r="L10" s="2078"/>
      <c r="M10" s="2078"/>
    </row>
    <row r="11" spans="1:13">
      <c r="A11" s="2078"/>
      <c r="B11" s="2078"/>
      <c r="C11" s="2078"/>
      <c r="D11" s="2078"/>
      <c r="E11" s="2078"/>
      <c r="F11" s="2078"/>
      <c r="G11" s="2078"/>
      <c r="H11" s="2078"/>
      <c r="I11" s="2078"/>
      <c r="J11" s="2078"/>
      <c r="K11" s="2078"/>
      <c r="L11" s="2078"/>
      <c r="M11" s="2078"/>
    </row>
    <row r="12" spans="1:13">
      <c r="A12" s="2078"/>
      <c r="B12" s="2078"/>
      <c r="C12" s="2078"/>
      <c r="D12" s="2078"/>
      <c r="E12" s="2078"/>
      <c r="F12" s="2078"/>
      <c r="G12" s="2078"/>
      <c r="H12" s="2078"/>
      <c r="I12" s="2078"/>
      <c r="J12" s="2078"/>
      <c r="K12" s="2078"/>
      <c r="L12" s="2078"/>
      <c r="M12" s="2078"/>
    </row>
    <row r="13" spans="1:13">
      <c r="A13" s="2078"/>
      <c r="B13" s="2078"/>
      <c r="C13" s="2078"/>
      <c r="D13" s="2078"/>
      <c r="E13" s="2078"/>
      <c r="F13" s="2078"/>
      <c r="G13" s="2078"/>
      <c r="H13" s="2078"/>
      <c r="I13" s="2078"/>
      <c r="J13" s="2078"/>
      <c r="K13" s="2078"/>
      <c r="L13" s="2078"/>
      <c r="M13" s="2078"/>
    </row>
    <row r="14" spans="1:13">
      <c r="A14" s="2078"/>
      <c r="B14" s="2078"/>
      <c r="C14" s="2078"/>
      <c r="D14" s="2078"/>
      <c r="E14" s="2078"/>
      <c r="F14" s="2078"/>
      <c r="G14" s="2078"/>
      <c r="H14" s="2078"/>
      <c r="I14" s="2078"/>
      <c r="J14" s="2078"/>
      <c r="K14" s="2078"/>
      <c r="L14" s="2078"/>
      <c r="M14" s="2078"/>
    </row>
    <row r="15" spans="1:13">
      <c r="A15" s="2078"/>
      <c r="B15" s="2078"/>
      <c r="C15" s="2078"/>
      <c r="D15" s="2078"/>
      <c r="E15" s="2078"/>
      <c r="F15" s="2078"/>
      <c r="G15" s="2078"/>
      <c r="H15" s="2078"/>
      <c r="I15" s="2078"/>
      <c r="J15" s="2078"/>
      <c r="K15" s="2078"/>
      <c r="L15" s="2078"/>
      <c r="M15" s="2078"/>
    </row>
    <row r="16" spans="1:13">
      <c r="A16" s="2078"/>
      <c r="B16" s="2078"/>
      <c r="C16" s="2078"/>
      <c r="D16" s="2078"/>
      <c r="E16" s="2078"/>
      <c r="F16" s="2078"/>
      <c r="G16" s="2078"/>
      <c r="H16" s="2078"/>
      <c r="I16" s="2078"/>
      <c r="J16" s="2078"/>
      <c r="K16" s="2078"/>
      <c r="L16" s="2078"/>
      <c r="M16" s="2078"/>
    </row>
    <row r="17" spans="1:18">
      <c r="A17" s="2078"/>
      <c r="B17" s="2078"/>
      <c r="C17" s="2078"/>
      <c r="D17" s="2078"/>
      <c r="E17" s="2078"/>
      <c r="F17" s="2078"/>
      <c r="G17" s="2078"/>
      <c r="H17" s="2078"/>
      <c r="I17" s="2078"/>
      <c r="J17" s="2078"/>
      <c r="K17" s="2078"/>
      <c r="L17" s="2078"/>
      <c r="M17" s="2078"/>
    </row>
    <row r="18" spans="1:18" ht="99" customHeight="1">
      <c r="A18" s="2078"/>
      <c r="B18" s="2078"/>
      <c r="C18" s="2078"/>
      <c r="D18" s="2078"/>
      <c r="E18" s="2078"/>
      <c r="F18" s="2078"/>
      <c r="G18" s="2078"/>
      <c r="H18" s="2078"/>
      <c r="I18" s="2078"/>
      <c r="J18" s="2078"/>
      <c r="K18" s="2078"/>
      <c r="L18" s="2078"/>
      <c r="M18" s="2078"/>
    </row>
    <row r="19" spans="1:18">
      <c r="A19" s="2078"/>
      <c r="B19" s="2078"/>
      <c r="C19" s="2078"/>
      <c r="D19" s="2078"/>
      <c r="E19" s="2078"/>
      <c r="F19" s="2078"/>
      <c r="G19" s="2078"/>
      <c r="H19" s="2078"/>
      <c r="I19" s="2078"/>
      <c r="J19" s="2078"/>
      <c r="K19" s="2078"/>
      <c r="L19" s="2078"/>
      <c r="M19" s="2078"/>
    </row>
    <row r="20" spans="1:18">
      <c r="A20" s="2078"/>
      <c r="B20" s="2078"/>
      <c r="C20" s="2078"/>
      <c r="D20" s="2078"/>
      <c r="E20" s="2078"/>
      <c r="F20" s="2078"/>
      <c r="G20" s="2078"/>
      <c r="H20" s="2078"/>
      <c r="I20" s="2078"/>
      <c r="J20" s="2078"/>
      <c r="K20" s="2078"/>
      <c r="L20" s="2078"/>
      <c r="M20" s="2078"/>
    </row>
    <row r="21" spans="1:18">
      <c r="A21" s="2078"/>
      <c r="B21" s="2078"/>
      <c r="C21" s="2078"/>
      <c r="D21" s="2078"/>
      <c r="E21" s="2078"/>
      <c r="F21" s="2078"/>
      <c r="G21" s="2078"/>
      <c r="H21" s="2078"/>
      <c r="I21" s="2078"/>
      <c r="J21" s="2078"/>
      <c r="K21" s="2078"/>
      <c r="L21" s="2078"/>
      <c r="M21" s="2078"/>
    </row>
    <row r="22" spans="1:18">
      <c r="A22" s="2078"/>
      <c r="B22" s="2078"/>
      <c r="C22" s="2078"/>
      <c r="D22" s="2078"/>
      <c r="E22" s="2078"/>
      <c r="F22" s="2078"/>
      <c r="G22" s="2078"/>
      <c r="H22" s="2078"/>
      <c r="I22" s="2078"/>
      <c r="J22" s="2078"/>
      <c r="K22" s="2078"/>
      <c r="L22" s="2078"/>
      <c r="M22" s="2078"/>
    </row>
    <row r="23" spans="1:18">
      <c r="A23" s="2078"/>
      <c r="B23" s="2078"/>
      <c r="C23" s="2078"/>
      <c r="D23" s="2078"/>
      <c r="E23" s="2078"/>
      <c r="F23" s="2078"/>
      <c r="G23" s="2078"/>
      <c r="H23" s="2078"/>
      <c r="I23" s="2078"/>
      <c r="J23" s="2078"/>
      <c r="K23" s="2078"/>
      <c r="L23" s="2078"/>
      <c r="M23" s="2078"/>
    </row>
    <row r="24" spans="1:18">
      <c r="A24" s="2078"/>
      <c r="B24" s="2078"/>
      <c r="C24" s="2078"/>
      <c r="D24" s="2078"/>
      <c r="E24" s="2078"/>
      <c r="F24" s="2078"/>
      <c r="G24" s="2078"/>
      <c r="H24" s="2078"/>
      <c r="I24" s="2078"/>
      <c r="J24" s="2078"/>
      <c r="K24" s="2078"/>
      <c r="L24" s="2078"/>
      <c r="M24" s="2078"/>
    </row>
    <row r="25" spans="1:18" ht="59.25" customHeight="1">
      <c r="A25" s="2078"/>
      <c r="B25" s="2078"/>
      <c r="C25" s="2078"/>
      <c r="D25" s="2078"/>
      <c r="E25" s="2078"/>
      <c r="F25" s="2078"/>
      <c r="G25" s="2078"/>
      <c r="H25" s="2078"/>
      <c r="I25" s="2078"/>
      <c r="J25" s="2078"/>
      <c r="K25" s="2078"/>
      <c r="L25" s="2078"/>
      <c r="M25" s="2078"/>
      <c r="R25" s="376"/>
    </row>
    <row r="26" spans="1:18">
      <c r="A26" s="2078"/>
      <c r="B26" s="2078"/>
      <c r="C26" s="2078"/>
      <c r="D26" s="2078"/>
      <c r="E26" s="2078"/>
      <c r="F26" s="2078"/>
      <c r="G26" s="2078"/>
      <c r="H26" s="2078"/>
      <c r="I26" s="2078"/>
      <c r="J26" s="2078"/>
      <c r="K26" s="2078"/>
      <c r="L26" s="2078"/>
      <c r="M26" s="2078"/>
    </row>
    <row r="27" spans="1:18">
      <c r="A27" s="2078"/>
      <c r="B27" s="2078"/>
      <c r="C27" s="2078"/>
      <c r="D27" s="2078"/>
      <c r="E27" s="2078"/>
      <c r="F27" s="2078"/>
      <c r="G27" s="2078"/>
      <c r="H27" s="2078"/>
      <c r="I27" s="2078"/>
      <c r="J27" s="2078"/>
      <c r="K27" s="2078"/>
      <c r="L27" s="2078"/>
      <c r="M27" s="2078"/>
    </row>
    <row r="28" spans="1:18">
      <c r="A28" s="2078"/>
      <c r="B28" s="2078"/>
      <c r="C28" s="2078"/>
      <c r="D28" s="2078"/>
      <c r="E28" s="2078"/>
      <c r="F28" s="2078"/>
      <c r="G28" s="2078"/>
      <c r="H28" s="2078"/>
      <c r="I28" s="2078"/>
      <c r="J28" s="2078"/>
      <c r="K28" s="2078"/>
      <c r="L28" s="2078"/>
      <c r="M28" s="2078"/>
    </row>
    <row r="29" spans="1:18">
      <c r="A29" s="2078"/>
      <c r="B29" s="2078"/>
      <c r="C29" s="2078"/>
      <c r="D29" s="2078"/>
      <c r="E29" s="2078"/>
      <c r="F29" s="2078"/>
      <c r="G29" s="2078"/>
      <c r="H29" s="2078"/>
      <c r="I29" s="2078"/>
      <c r="J29" s="2078"/>
      <c r="K29" s="2078"/>
      <c r="L29" s="2078"/>
      <c r="M29" s="2078"/>
    </row>
    <row r="30" spans="1:18" ht="51" customHeight="1">
      <c r="A30" s="2078"/>
      <c r="B30" s="2078"/>
      <c r="C30" s="2078"/>
      <c r="D30" s="2078"/>
      <c r="E30" s="2078"/>
      <c r="F30" s="2078"/>
      <c r="G30" s="2078"/>
      <c r="H30" s="2078"/>
      <c r="I30" s="2078"/>
      <c r="J30" s="2078"/>
      <c r="K30" s="2078"/>
      <c r="L30" s="2078"/>
      <c r="M30" s="2078"/>
    </row>
    <row r="31" spans="1:18" ht="51" customHeight="1">
      <c r="A31" s="2078"/>
      <c r="B31" s="2078"/>
      <c r="C31" s="2078"/>
      <c r="D31" s="2078"/>
      <c r="E31" s="2078"/>
      <c r="F31" s="2078"/>
      <c r="G31" s="2078"/>
      <c r="H31" s="2078"/>
      <c r="I31" s="2078"/>
      <c r="J31" s="2078"/>
      <c r="K31" s="2078"/>
      <c r="L31" s="2078"/>
      <c r="M31" s="2078"/>
    </row>
    <row r="32" spans="1:18" ht="51" customHeight="1">
      <c r="A32" s="2078"/>
      <c r="B32" s="2078"/>
      <c r="C32" s="2078"/>
      <c r="D32" s="2078"/>
      <c r="E32" s="2078"/>
      <c r="F32" s="2078"/>
      <c r="G32" s="2078"/>
      <c r="H32" s="2078"/>
      <c r="I32" s="2078"/>
      <c r="J32" s="2078"/>
      <c r="K32" s="2078"/>
      <c r="L32" s="2078"/>
      <c r="M32" s="2078"/>
    </row>
    <row r="33" spans="1:13" ht="51" customHeight="1">
      <c r="A33" s="2078"/>
      <c r="B33" s="2078"/>
      <c r="C33" s="2078"/>
      <c r="D33" s="2078"/>
      <c r="E33" s="2078"/>
      <c r="F33" s="2078"/>
      <c r="G33" s="2078"/>
      <c r="H33" s="2078"/>
      <c r="I33" s="2078"/>
      <c r="J33" s="2078"/>
      <c r="K33" s="2078"/>
      <c r="L33" s="2078"/>
      <c r="M33" s="2078"/>
    </row>
    <row r="34" spans="1:13" ht="51" customHeight="1">
      <c r="A34" s="2078"/>
      <c r="B34" s="2078"/>
      <c r="C34" s="2078"/>
      <c r="D34" s="2078"/>
      <c r="E34" s="2078"/>
      <c r="F34" s="2078"/>
      <c r="G34" s="2078"/>
      <c r="H34" s="2078"/>
      <c r="I34" s="2078"/>
      <c r="J34" s="2078"/>
      <c r="K34" s="2078"/>
      <c r="L34" s="2078"/>
      <c r="M34" s="2078"/>
    </row>
    <row r="35" spans="1:13" ht="32.25" customHeight="1">
      <c r="A35" s="2078"/>
      <c r="B35" s="2078"/>
      <c r="C35" s="2078"/>
      <c r="D35" s="2078"/>
      <c r="E35" s="2078"/>
      <c r="F35" s="2078"/>
      <c r="G35" s="2078"/>
      <c r="H35" s="2078"/>
      <c r="I35" s="2078"/>
      <c r="J35" s="2078"/>
      <c r="K35" s="2078"/>
      <c r="L35" s="2078"/>
      <c r="M35" s="2078"/>
    </row>
    <row r="36" spans="1:13">
      <c r="A36" s="2078"/>
      <c r="B36" s="2078"/>
      <c r="C36" s="2078"/>
      <c r="D36" s="2078"/>
      <c r="E36" s="2078"/>
      <c r="F36" s="2078"/>
      <c r="G36" s="2078"/>
      <c r="H36" s="2078"/>
      <c r="I36" s="2078"/>
      <c r="J36" s="2078"/>
      <c r="K36" s="2078"/>
      <c r="L36" s="2078"/>
      <c r="M36" s="2078"/>
    </row>
    <row r="37" spans="1:13" ht="64.5" customHeight="1">
      <c r="A37" s="2078"/>
      <c r="B37" s="2078"/>
      <c r="C37" s="2078"/>
      <c r="D37" s="2078"/>
      <c r="E37" s="2078"/>
      <c r="F37" s="2078"/>
      <c r="G37" s="2078"/>
      <c r="H37" s="2078"/>
      <c r="I37" s="2078"/>
      <c r="J37" s="2078"/>
      <c r="K37" s="2078"/>
      <c r="L37" s="2078"/>
      <c r="M37" s="2078"/>
    </row>
    <row r="38" spans="1:13" ht="79.5" customHeight="1">
      <c r="A38" s="2078"/>
      <c r="B38" s="2078"/>
      <c r="C38" s="2078"/>
      <c r="D38" s="2078"/>
      <c r="E38" s="2078"/>
      <c r="F38" s="2078"/>
      <c r="G38" s="2078"/>
      <c r="H38" s="2078"/>
      <c r="I38" s="2078"/>
      <c r="J38" s="2078"/>
      <c r="K38" s="2078"/>
      <c r="L38" s="2078"/>
      <c r="M38" s="2078"/>
    </row>
    <row r="39" spans="1:13" ht="79.5" customHeight="1">
      <c r="A39" s="2078"/>
      <c r="B39" s="2078"/>
      <c r="C39" s="2078"/>
      <c r="D39" s="2078"/>
      <c r="E39" s="2078"/>
      <c r="F39" s="2078"/>
      <c r="G39" s="2078"/>
      <c r="H39" s="2078"/>
      <c r="I39" s="2078"/>
      <c r="J39" s="2078"/>
      <c r="K39" s="2078"/>
      <c r="L39" s="2078"/>
      <c r="M39" s="2078"/>
    </row>
    <row r="40" spans="1:13" ht="79.5" customHeight="1">
      <c r="A40" s="2078"/>
      <c r="B40" s="2078"/>
      <c r="C40" s="2078"/>
      <c r="D40" s="2078"/>
      <c r="E40" s="2078"/>
      <c r="F40" s="2078"/>
      <c r="G40" s="2078"/>
      <c r="H40" s="2078"/>
      <c r="I40" s="2078"/>
      <c r="J40" s="2078"/>
      <c r="K40" s="2078"/>
      <c r="L40" s="2078"/>
      <c r="M40" s="2078"/>
    </row>
    <row r="41" spans="1:13" ht="195.75" customHeight="1">
      <c r="A41" s="2078"/>
      <c r="B41" s="2078"/>
      <c r="C41" s="2078"/>
      <c r="D41" s="2078"/>
      <c r="E41" s="2078"/>
      <c r="F41" s="2078"/>
      <c r="G41" s="2078"/>
      <c r="H41" s="2078"/>
      <c r="I41" s="2078"/>
      <c r="J41" s="2078"/>
      <c r="K41" s="2078"/>
      <c r="L41" s="2078"/>
      <c r="M41" s="2078"/>
    </row>
    <row r="42" spans="1:13" ht="79.5" customHeight="1">
      <c r="A42" s="2078"/>
      <c r="B42" s="2078"/>
      <c r="C42" s="2078"/>
      <c r="D42" s="2078"/>
      <c r="E42" s="2078"/>
      <c r="F42" s="2078"/>
      <c r="G42" s="2078"/>
      <c r="H42" s="2078"/>
      <c r="I42" s="2078"/>
      <c r="J42" s="2078"/>
      <c r="K42" s="2078"/>
      <c r="L42" s="2078"/>
      <c r="M42" s="2078"/>
    </row>
    <row r="43" spans="1:13" ht="251.25" customHeight="1">
      <c r="A43" s="2078"/>
      <c r="B43" s="2078"/>
      <c r="C43" s="2078"/>
      <c r="D43" s="2078"/>
      <c r="E43" s="2078"/>
      <c r="F43" s="2078"/>
      <c r="G43" s="2078"/>
      <c r="H43" s="2078"/>
      <c r="I43" s="2078"/>
      <c r="J43" s="2078"/>
      <c r="K43" s="2078"/>
      <c r="L43" s="2078"/>
      <c r="M43" s="2078"/>
    </row>
    <row r="44" spans="1:13" ht="79.5" customHeight="1">
      <c r="A44" s="2078"/>
      <c r="B44" s="2078"/>
      <c r="C44" s="2078"/>
      <c r="D44" s="2078"/>
      <c r="E44" s="2078"/>
      <c r="F44" s="2078"/>
      <c r="G44" s="2078"/>
      <c r="H44" s="2078"/>
      <c r="I44" s="2078"/>
      <c r="J44" s="2078"/>
      <c r="K44" s="2078"/>
      <c r="L44" s="2078"/>
      <c r="M44" s="2078"/>
    </row>
    <row r="45" spans="1:13" ht="70.5" customHeight="1">
      <c r="A45" s="2078"/>
      <c r="B45" s="2078"/>
      <c r="C45" s="2078"/>
      <c r="D45" s="2078"/>
      <c r="E45" s="2078"/>
      <c r="F45" s="2078"/>
      <c r="G45" s="2078"/>
      <c r="H45" s="2078"/>
      <c r="I45" s="2078"/>
      <c r="J45" s="2078"/>
      <c r="K45" s="2078"/>
      <c r="L45" s="2078"/>
      <c r="M45" s="2078"/>
    </row>
    <row r="46" spans="1:13" ht="59.25" customHeight="1">
      <c r="A46" s="2078"/>
      <c r="B46" s="2078"/>
      <c r="C46" s="2078"/>
      <c r="D46" s="2078"/>
      <c r="E46" s="2078"/>
      <c r="F46" s="2078"/>
      <c r="G46" s="2078"/>
      <c r="H46" s="2078"/>
      <c r="I46" s="2078"/>
      <c r="J46" s="2078"/>
      <c r="K46" s="2078"/>
      <c r="L46" s="2078"/>
      <c r="M46" s="2078"/>
    </row>
    <row r="47" spans="1:13" ht="59.25" customHeight="1">
      <c r="A47" s="2078"/>
      <c r="B47" s="2078"/>
      <c r="C47" s="2078"/>
      <c r="D47" s="2078"/>
      <c r="E47" s="2078"/>
      <c r="F47" s="2078"/>
      <c r="G47" s="2078"/>
      <c r="H47" s="2078"/>
      <c r="I47" s="2078"/>
      <c r="J47" s="2078"/>
      <c r="K47" s="2078"/>
      <c r="L47" s="2078"/>
      <c r="M47" s="2078"/>
    </row>
    <row r="48" spans="1:13" ht="59.25" customHeight="1">
      <c r="A48" s="2078"/>
      <c r="B48" s="2078"/>
      <c r="C48" s="2078"/>
      <c r="D48" s="2078"/>
      <c r="E48" s="2078"/>
      <c r="F48" s="2078"/>
      <c r="G48" s="2078"/>
      <c r="H48" s="2078"/>
      <c r="I48" s="2078"/>
      <c r="J48" s="2078"/>
      <c r="K48" s="2078"/>
      <c r="L48" s="2078"/>
      <c r="M48" s="2078"/>
    </row>
    <row r="49" spans="1:15" ht="59.25" customHeight="1">
      <c r="A49" s="2078"/>
      <c r="B49" s="2078"/>
      <c r="C49" s="2078"/>
      <c r="D49" s="2078"/>
      <c r="E49" s="2078"/>
      <c r="F49" s="2078"/>
      <c r="G49" s="2078"/>
      <c r="H49" s="2078"/>
      <c r="I49" s="2078"/>
      <c r="J49" s="2078"/>
      <c r="K49" s="2078"/>
      <c r="L49" s="2078"/>
      <c r="M49" s="2078"/>
      <c r="O49" s="307" t="s">
        <v>1</v>
      </c>
    </row>
    <row r="50" spans="1:15" ht="59.25" customHeight="1">
      <c r="A50" s="2078"/>
      <c r="B50" s="2078"/>
      <c r="C50" s="2078"/>
      <c r="D50" s="2078"/>
      <c r="E50" s="2078"/>
      <c r="F50" s="2078"/>
      <c r="G50" s="2078"/>
      <c r="H50" s="2078"/>
      <c r="I50" s="2078"/>
      <c r="J50" s="2078"/>
      <c r="K50" s="2078"/>
      <c r="L50" s="2078"/>
      <c r="M50" s="2078"/>
    </row>
    <row r="51" spans="1:15" ht="62.25" customHeight="1">
      <c r="A51" s="2078"/>
      <c r="B51" s="2078"/>
      <c r="C51" s="2078"/>
      <c r="D51" s="2078"/>
      <c r="E51" s="2078"/>
      <c r="F51" s="2078"/>
      <c r="G51" s="2078"/>
      <c r="H51" s="2078"/>
      <c r="I51" s="2078"/>
      <c r="J51" s="2078"/>
      <c r="K51" s="2078"/>
      <c r="L51" s="2078"/>
      <c r="M51" s="2078"/>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tabColor theme="8" tint="-0.249977111117893"/>
    <pageSetUpPr fitToPage="1"/>
  </sheetPr>
  <dimension ref="A3:AE59"/>
  <sheetViews>
    <sheetView showGridLines="0" view="pageBreakPreview" zoomScale="40" zoomScaleNormal="100" zoomScaleSheetLayoutView="40" workbookViewId="0">
      <pane ySplit="3" topLeftCell="A4" activePane="bottomLeft" state="frozen"/>
      <selection pane="bottomLeft" activeCell="AB78" sqref="AB78"/>
      <selection activeCell="Q40" sqref="Q40"/>
    </sheetView>
  </sheetViews>
  <sheetFormatPr defaultColWidth="11.42578125" defaultRowHeight="30"/>
  <cols>
    <col min="1" max="1" width="16.28515625" style="307" customWidth="1"/>
    <col min="2" max="2" width="15.42578125" style="307" customWidth="1"/>
    <col min="3" max="3" width="11.42578125" style="307"/>
    <col min="4" max="4" width="16.42578125" style="307" customWidth="1"/>
    <col min="5" max="5" width="14.85546875" style="307" customWidth="1"/>
    <col min="6" max="6" width="20.140625" style="307" customWidth="1"/>
    <col min="7" max="7" width="17.28515625" style="307" customWidth="1"/>
    <col min="8" max="8" width="45.7109375" style="307" customWidth="1"/>
    <col min="9" max="9" width="42.42578125" style="307" customWidth="1"/>
    <col min="10" max="10" width="58.5703125" style="307" customWidth="1"/>
    <col min="11" max="11" width="53.85546875" style="307" customWidth="1"/>
    <col min="12" max="12" width="20.140625" style="307" customWidth="1"/>
    <col min="13" max="13" width="7" style="307" customWidth="1"/>
    <col min="14" max="14" width="24.140625" style="307" customWidth="1"/>
    <col min="15" max="15" width="56.5703125" style="1610" customWidth="1"/>
    <col min="16" max="16" width="56.42578125" style="1610" customWidth="1"/>
    <col min="17" max="17" width="36.85546875" style="1611" customWidth="1"/>
    <col min="18" max="18" width="29.42578125" style="1611" customWidth="1"/>
    <col min="19" max="19" width="16" style="1611" customWidth="1"/>
    <col min="20" max="20" width="11.42578125" style="1611"/>
    <col min="21" max="31" width="11.42578125" style="1610"/>
    <col min="32" max="16384" width="11.42578125" style="307"/>
  </cols>
  <sheetData>
    <row r="3" spans="1:14" ht="81" customHeight="1"/>
    <row r="4" spans="1:14" ht="10.5" customHeight="1">
      <c r="A4" s="2080" t="s">
        <v>420</v>
      </c>
      <c r="B4" s="2080"/>
      <c r="C4" s="2080"/>
      <c r="D4" s="2080"/>
      <c r="E4" s="2080"/>
      <c r="F4" s="2080"/>
      <c r="G4" s="2080"/>
      <c r="H4" s="2080"/>
      <c r="I4" s="2080"/>
      <c r="J4" s="2080"/>
      <c r="K4" s="2080"/>
      <c r="L4" s="2080"/>
      <c r="M4" s="1416"/>
      <c r="N4" s="1416"/>
    </row>
    <row r="5" spans="1:14" ht="14.25" customHeight="1">
      <c r="A5" s="2080"/>
      <c r="B5" s="2080"/>
      <c r="C5" s="2080"/>
      <c r="D5" s="2080"/>
      <c r="E5" s="2080"/>
      <c r="F5" s="2080"/>
      <c r="G5" s="2080"/>
      <c r="H5" s="2080"/>
      <c r="I5" s="2080"/>
      <c r="J5" s="2080"/>
      <c r="K5" s="2080"/>
      <c r="L5" s="2080"/>
      <c r="M5" s="1416"/>
      <c r="N5" s="1416"/>
    </row>
    <row r="6" spans="1:14" ht="14.25" customHeight="1">
      <c r="A6" s="2080"/>
      <c r="B6" s="2080"/>
      <c r="C6" s="2080"/>
      <c r="D6" s="2080"/>
      <c r="E6" s="2080"/>
      <c r="F6" s="2080"/>
      <c r="G6" s="2080"/>
      <c r="H6" s="2080"/>
      <c r="I6" s="2080"/>
      <c r="J6" s="2080"/>
      <c r="K6" s="2080"/>
      <c r="L6" s="2080"/>
      <c r="M6" s="1416"/>
      <c r="N6" s="1416"/>
    </row>
    <row r="7" spans="1:14" ht="14.25" customHeight="1">
      <c r="A7" s="2080"/>
      <c r="B7" s="2080"/>
      <c r="C7" s="2080"/>
      <c r="D7" s="2080"/>
      <c r="E7" s="2080"/>
      <c r="F7" s="2080"/>
      <c r="G7" s="2080"/>
      <c r="H7" s="2080"/>
      <c r="I7" s="2080"/>
      <c r="J7" s="2080"/>
      <c r="K7" s="2080"/>
      <c r="L7" s="2080"/>
      <c r="M7" s="1416"/>
      <c r="N7" s="1416"/>
    </row>
    <row r="8" spans="1:14" ht="14.25" customHeight="1">
      <c r="A8" s="2080"/>
      <c r="B8" s="2080"/>
      <c r="C8" s="2080"/>
      <c r="D8" s="2080"/>
      <c r="E8" s="2080"/>
      <c r="F8" s="2080"/>
      <c r="G8" s="2080"/>
      <c r="H8" s="2080"/>
      <c r="I8" s="2080"/>
      <c r="J8" s="2080"/>
      <c r="K8" s="2080"/>
      <c r="L8" s="2080"/>
      <c r="M8" s="1416"/>
      <c r="N8" s="1416"/>
    </row>
    <row r="9" spans="1:14" ht="14.25" customHeight="1">
      <c r="A9" s="2080"/>
      <c r="B9" s="2080"/>
      <c r="C9" s="2080"/>
      <c r="D9" s="2080"/>
      <c r="E9" s="2080"/>
      <c r="F9" s="2080"/>
      <c r="G9" s="2080"/>
      <c r="H9" s="2080"/>
      <c r="I9" s="2080"/>
      <c r="J9" s="2080"/>
      <c r="K9" s="2080"/>
      <c r="L9" s="2080"/>
      <c r="M9" s="1416"/>
      <c r="N9" s="1416"/>
    </row>
    <row r="10" spans="1:14" ht="45.75" customHeight="1">
      <c r="A10" s="2080"/>
      <c r="B10" s="2080"/>
      <c r="C10" s="2080"/>
      <c r="D10" s="2080"/>
      <c r="E10" s="2080"/>
      <c r="F10" s="2080"/>
      <c r="G10" s="2080"/>
      <c r="H10" s="2080"/>
      <c r="I10" s="2080"/>
      <c r="J10" s="2080"/>
      <c r="K10" s="2080"/>
      <c r="L10" s="2080"/>
      <c r="M10" s="1416"/>
      <c r="N10" s="1416"/>
    </row>
    <row r="11" spans="1:14" ht="14.25" customHeight="1">
      <c r="A11" s="2080"/>
      <c r="B11" s="2080"/>
      <c r="C11" s="2080"/>
      <c r="D11" s="2080"/>
      <c r="E11" s="2080"/>
      <c r="F11" s="2080"/>
      <c r="G11" s="2080"/>
      <c r="H11" s="2080"/>
      <c r="I11" s="2080"/>
      <c r="J11" s="2080"/>
      <c r="K11" s="2080"/>
      <c r="L11" s="2080"/>
      <c r="M11" s="1416"/>
      <c r="N11" s="1416"/>
    </row>
    <row r="12" spans="1:14" ht="14.25" customHeight="1">
      <c r="A12" s="2080"/>
      <c r="B12" s="2080"/>
      <c r="C12" s="2080"/>
      <c r="D12" s="2080"/>
      <c r="E12" s="2080"/>
      <c r="F12" s="2080"/>
      <c r="G12" s="2080"/>
      <c r="H12" s="2080"/>
      <c r="I12" s="2080"/>
      <c r="J12" s="2080"/>
      <c r="K12" s="2080"/>
      <c r="L12" s="2080"/>
      <c r="M12" s="1416"/>
      <c r="N12" s="1416"/>
    </row>
    <row r="13" spans="1:14" ht="14.25" customHeight="1">
      <c r="A13" s="2080"/>
      <c r="B13" s="2080"/>
      <c r="C13" s="2080"/>
      <c r="D13" s="2080"/>
      <c r="E13" s="2080"/>
      <c r="F13" s="2080"/>
      <c r="G13" s="2080"/>
      <c r="H13" s="2080"/>
      <c r="I13" s="2080"/>
      <c r="J13" s="2080"/>
      <c r="K13" s="2080"/>
      <c r="L13" s="2080"/>
      <c r="M13" s="1416"/>
      <c r="N13" s="1416"/>
    </row>
    <row r="14" spans="1:14" ht="14.25" customHeight="1">
      <c r="A14" s="2080"/>
      <c r="B14" s="2080"/>
      <c r="C14" s="2080"/>
      <c r="D14" s="2080"/>
      <c r="E14" s="2080"/>
      <c r="F14" s="2080"/>
      <c r="G14" s="2080"/>
      <c r="H14" s="2080"/>
      <c r="I14" s="2080"/>
      <c r="J14" s="2080"/>
      <c r="K14" s="2080"/>
      <c r="L14" s="2080"/>
      <c r="M14" s="1416"/>
      <c r="N14" s="1416"/>
    </row>
    <row r="15" spans="1:14" ht="14.25" customHeight="1">
      <c r="A15" s="2080"/>
      <c r="B15" s="2080"/>
      <c r="C15" s="2080"/>
      <c r="D15" s="2080"/>
      <c r="E15" s="2080"/>
      <c r="F15" s="2080"/>
      <c r="G15" s="2080"/>
      <c r="H15" s="2080"/>
      <c r="I15" s="2080"/>
      <c r="J15" s="2080"/>
      <c r="K15" s="2080"/>
      <c r="L15" s="2080"/>
      <c r="M15" s="1416"/>
      <c r="N15" s="1416"/>
    </row>
    <row r="16" spans="1:14" ht="14.25" customHeight="1">
      <c r="A16" s="2080"/>
      <c r="B16" s="2080"/>
      <c r="C16" s="2080"/>
      <c r="D16" s="2080"/>
      <c r="E16" s="2080"/>
      <c r="F16" s="2080"/>
      <c r="G16" s="2080"/>
      <c r="H16" s="2080"/>
      <c r="I16" s="2080"/>
      <c r="J16" s="2080"/>
      <c r="K16" s="2080"/>
      <c r="L16" s="2080"/>
      <c r="M16" s="1416"/>
      <c r="N16" s="1416"/>
    </row>
    <row r="17" spans="1:18" ht="14.25" customHeight="1">
      <c r="A17" s="2080"/>
      <c r="B17" s="2080"/>
      <c r="C17" s="2080"/>
      <c r="D17" s="2080"/>
      <c r="E17" s="2080"/>
      <c r="F17" s="2080"/>
      <c r="G17" s="2080"/>
      <c r="H17" s="2080"/>
      <c r="I17" s="2080"/>
      <c r="J17" s="2080"/>
      <c r="K17" s="2080"/>
      <c r="L17" s="2080"/>
      <c r="M17" s="1416"/>
      <c r="N17" s="1416"/>
    </row>
    <row r="18" spans="1:18" ht="14.25" customHeight="1">
      <c r="A18" s="2080"/>
      <c r="B18" s="2080"/>
      <c r="C18" s="2080"/>
      <c r="D18" s="2080"/>
      <c r="E18" s="2080"/>
      <c r="F18" s="2080"/>
      <c r="G18" s="2080"/>
      <c r="H18" s="2080"/>
      <c r="I18" s="2080"/>
      <c r="J18" s="2080"/>
      <c r="K18" s="2080"/>
      <c r="L18" s="2080"/>
      <c r="M18" s="1416"/>
      <c r="N18" s="1416"/>
    </row>
    <row r="19" spans="1:18" ht="14.25" customHeight="1">
      <c r="A19" s="2080"/>
      <c r="B19" s="2080"/>
      <c r="C19" s="2080"/>
      <c r="D19" s="2080"/>
      <c r="E19" s="2080"/>
      <c r="F19" s="2080"/>
      <c r="G19" s="2080"/>
      <c r="H19" s="2080"/>
      <c r="I19" s="2080"/>
      <c r="J19" s="2080"/>
      <c r="K19" s="2080"/>
      <c r="L19" s="2080"/>
      <c r="M19" s="1416"/>
      <c r="N19" s="1416"/>
    </row>
    <row r="20" spans="1:18" ht="14.25" customHeight="1">
      <c r="A20" s="2080"/>
      <c r="B20" s="2080"/>
      <c r="C20" s="2080"/>
      <c r="D20" s="2080"/>
      <c r="E20" s="2080"/>
      <c r="F20" s="2080"/>
      <c r="G20" s="2080"/>
      <c r="H20" s="2080"/>
      <c r="I20" s="2080"/>
      <c r="J20" s="2080"/>
      <c r="K20" s="2080"/>
      <c r="L20" s="2080"/>
      <c r="M20" s="1416"/>
      <c r="N20" s="1416"/>
    </row>
    <row r="21" spans="1:18" ht="14.25" customHeight="1">
      <c r="A21" s="2080"/>
      <c r="B21" s="2080"/>
      <c r="C21" s="2080"/>
      <c r="D21" s="2080"/>
      <c r="E21" s="2080"/>
      <c r="F21" s="2080"/>
      <c r="G21" s="2080"/>
      <c r="H21" s="2080"/>
      <c r="I21" s="2080"/>
      <c r="J21" s="2080"/>
      <c r="K21" s="2080"/>
      <c r="L21" s="2080"/>
      <c r="M21" s="1416"/>
      <c r="N21" s="1416"/>
      <c r="Q21" s="1610"/>
    </row>
    <row r="22" spans="1:18" ht="15" customHeight="1">
      <c r="A22" s="2080"/>
      <c r="B22" s="2080"/>
      <c r="C22" s="2080"/>
      <c r="D22" s="2080"/>
      <c r="E22" s="2080"/>
      <c r="F22" s="2080"/>
      <c r="G22" s="2080"/>
      <c r="H22" s="2080"/>
      <c r="I22" s="2080"/>
      <c r="J22" s="2080"/>
      <c r="K22" s="2080"/>
      <c r="L22" s="2080"/>
      <c r="M22" s="1416"/>
      <c r="N22" s="1416"/>
      <c r="P22" s="2082" t="str">
        <f>+'III.1.3.Afil.SFSPob.Nac.'!M11</f>
        <v>Analisis de cuadro
Se reflejo una tasa de cremiento de un 0.13% al mes de abril con respecto al mes de marzo 2024 del Seguro Famiiliar de Salud (SFS)  
para diciembre 2023 se refleja una desminucion en la tasa de cremientio de un 0.6% con respecto al ano 2022.</v>
      </c>
      <c r="Q22" s="2082"/>
      <c r="R22" s="2082"/>
    </row>
    <row r="23" spans="1:18" ht="15" customHeight="1">
      <c r="A23" s="2080"/>
      <c r="B23" s="2080"/>
      <c r="C23" s="2080"/>
      <c r="D23" s="2080"/>
      <c r="E23" s="2080"/>
      <c r="F23" s="2080"/>
      <c r="G23" s="2080"/>
      <c r="H23" s="2080"/>
      <c r="I23" s="2080"/>
      <c r="J23" s="2080"/>
      <c r="K23" s="2080"/>
      <c r="L23" s="2080"/>
      <c r="M23" s="1416"/>
      <c r="N23" s="1416"/>
      <c r="P23" s="2082"/>
      <c r="Q23" s="2082"/>
      <c r="R23" s="2082"/>
    </row>
    <row r="24" spans="1:18" ht="15" customHeight="1">
      <c r="A24" s="2080"/>
      <c r="B24" s="2080"/>
      <c r="C24" s="2080"/>
      <c r="D24" s="2080"/>
      <c r="E24" s="2080"/>
      <c r="F24" s="2080"/>
      <c r="G24" s="2080"/>
      <c r="H24" s="2080"/>
      <c r="I24" s="2080"/>
      <c r="J24" s="2080"/>
      <c r="K24" s="2080"/>
      <c r="L24" s="2080"/>
      <c r="M24" s="1416"/>
      <c r="N24" s="1416"/>
      <c r="P24" s="2082"/>
      <c r="Q24" s="2082"/>
      <c r="R24" s="2082"/>
    </row>
    <row r="25" spans="1:18" ht="15" customHeight="1">
      <c r="A25" s="2080"/>
      <c r="B25" s="2080"/>
      <c r="C25" s="2080"/>
      <c r="D25" s="2080"/>
      <c r="E25" s="2080"/>
      <c r="F25" s="2080"/>
      <c r="G25" s="2080"/>
      <c r="H25" s="2080"/>
      <c r="I25" s="2080"/>
      <c r="J25" s="2080"/>
      <c r="K25" s="2080"/>
      <c r="L25" s="2080"/>
      <c r="M25" s="1416"/>
      <c r="N25" s="1416"/>
      <c r="P25" s="2082"/>
      <c r="Q25" s="2082"/>
      <c r="R25" s="2082"/>
    </row>
    <row r="26" spans="1:18" ht="15" customHeight="1">
      <c r="A26" s="2080"/>
      <c r="B26" s="2080"/>
      <c r="C26" s="2080"/>
      <c r="D26" s="2080"/>
      <c r="E26" s="2080"/>
      <c r="F26" s="2080"/>
      <c r="G26" s="2080"/>
      <c r="H26" s="2080"/>
      <c r="I26" s="2080"/>
      <c r="J26" s="2080"/>
      <c r="K26" s="2080"/>
      <c r="L26" s="2080"/>
      <c r="M26" s="1416"/>
      <c r="N26" s="1416"/>
      <c r="P26" s="2082"/>
      <c r="Q26" s="2082"/>
      <c r="R26" s="2082"/>
    </row>
    <row r="27" spans="1:18" ht="14.25" customHeight="1">
      <c r="A27" s="2080"/>
      <c r="B27" s="2080"/>
      <c r="C27" s="2080"/>
      <c r="D27" s="2080"/>
      <c r="E27" s="2080"/>
      <c r="F27" s="2080"/>
      <c r="G27" s="2080"/>
      <c r="H27" s="2080"/>
      <c r="I27" s="2080"/>
      <c r="J27" s="2080"/>
      <c r="K27" s="2080"/>
      <c r="L27" s="2080"/>
      <c r="M27" s="1416"/>
      <c r="N27" s="1416"/>
      <c r="P27" s="2082"/>
      <c r="Q27" s="2082"/>
      <c r="R27" s="2082"/>
    </row>
    <row r="28" spans="1:18" ht="93.75" customHeight="1">
      <c r="A28" s="2080"/>
      <c r="B28" s="2080"/>
      <c r="C28" s="2080"/>
      <c r="D28" s="2080"/>
      <c r="E28" s="2080"/>
      <c r="F28" s="2080"/>
      <c r="G28" s="2080"/>
      <c r="H28" s="2080"/>
      <c r="I28" s="2080"/>
      <c r="J28" s="2080"/>
      <c r="K28" s="2080"/>
      <c r="L28" s="2080"/>
      <c r="M28" s="1416"/>
      <c r="N28" s="1416"/>
      <c r="P28" s="2082"/>
      <c r="Q28" s="2082"/>
      <c r="R28" s="2082"/>
    </row>
    <row r="29" spans="1:18" ht="14.25" customHeight="1">
      <c r="A29" s="2080"/>
      <c r="B29" s="2080"/>
      <c r="C29" s="2080"/>
      <c r="D29" s="2080"/>
      <c r="E29" s="2080"/>
      <c r="F29" s="2080"/>
      <c r="G29" s="2080"/>
      <c r="H29" s="2080"/>
      <c r="I29" s="2080"/>
      <c r="J29" s="2080"/>
      <c r="K29" s="2080"/>
      <c r="L29" s="2080"/>
      <c r="M29" s="1416"/>
      <c r="N29" s="1416"/>
      <c r="P29" s="2081" t="str">
        <f>+Tabla5[[#Headers],[Tasa de Crecimiento Anual]]</f>
        <v>Tasa de Crecimiento Anual</v>
      </c>
      <c r="Q29" s="2081"/>
      <c r="R29" s="2081"/>
    </row>
    <row r="30" spans="1:18" ht="14.25" customHeight="1">
      <c r="A30" s="2080"/>
      <c r="B30" s="2080"/>
      <c r="C30" s="2080"/>
      <c r="D30" s="2080"/>
      <c r="E30" s="2080"/>
      <c r="F30" s="2080"/>
      <c r="G30" s="2080"/>
      <c r="H30" s="2080"/>
      <c r="I30" s="2080"/>
      <c r="J30" s="2080"/>
      <c r="K30" s="2080"/>
      <c r="L30" s="2080"/>
      <c r="M30" s="1416"/>
      <c r="N30" s="1416"/>
      <c r="P30" s="2081"/>
      <c r="Q30" s="2081"/>
      <c r="R30" s="2081"/>
    </row>
    <row r="31" spans="1:18">
      <c r="A31" s="2080"/>
      <c r="B31" s="2080"/>
      <c r="C31" s="2080"/>
      <c r="D31" s="2080"/>
      <c r="E31" s="2080"/>
      <c r="F31" s="2080"/>
      <c r="G31" s="2080"/>
      <c r="H31" s="2080"/>
      <c r="I31" s="2080"/>
      <c r="J31" s="2080"/>
      <c r="K31" s="2080"/>
      <c r="L31" s="2080"/>
      <c r="M31" s="1416"/>
      <c r="N31" s="1416"/>
    </row>
    <row r="32" spans="1:18" ht="14.25" customHeight="1">
      <c r="A32" s="2080"/>
      <c r="B32" s="2080"/>
      <c r="C32" s="2080"/>
      <c r="D32" s="2080"/>
      <c r="E32" s="2080"/>
      <c r="F32" s="2080"/>
      <c r="G32" s="2080"/>
      <c r="H32" s="2080"/>
      <c r="I32" s="2080"/>
      <c r="J32" s="2080"/>
      <c r="K32" s="2080"/>
      <c r="L32" s="2080"/>
      <c r="M32" s="1416"/>
      <c r="N32" s="1416"/>
    </row>
    <row r="33" spans="1:19" ht="14.25" customHeight="1">
      <c r="A33" s="2080"/>
      <c r="B33" s="2080"/>
      <c r="C33" s="2080"/>
      <c r="D33" s="2080"/>
      <c r="E33" s="2080"/>
      <c r="F33" s="2080"/>
      <c r="G33" s="2080"/>
      <c r="H33" s="2080"/>
      <c r="I33" s="2080"/>
      <c r="J33" s="2080"/>
      <c r="K33" s="2080"/>
      <c r="L33" s="2080"/>
      <c r="M33" s="1416"/>
      <c r="N33" s="1416"/>
    </row>
    <row r="34" spans="1:19" ht="42.75" customHeight="1">
      <c r="A34" s="2080"/>
      <c r="B34" s="2080"/>
      <c r="C34" s="2080"/>
      <c r="D34" s="2080"/>
      <c r="E34" s="2080"/>
      <c r="F34" s="2080"/>
      <c r="G34" s="2080"/>
      <c r="H34" s="2080"/>
      <c r="I34" s="2080"/>
      <c r="J34" s="2080"/>
      <c r="K34" s="2080"/>
      <c r="L34" s="2080"/>
      <c r="M34" s="1416"/>
      <c r="N34" s="1416"/>
      <c r="Q34" s="1612" t="str">
        <f>+'III.1.3.Afil.SFSPob.Nac.'!A22</f>
        <v>Abr.25</v>
      </c>
    </row>
    <row r="35" spans="1:19" ht="14.25" customHeight="1">
      <c r="A35" s="2080"/>
      <c r="B35" s="2080"/>
      <c r="C35" s="2080"/>
      <c r="D35" s="2080"/>
      <c r="E35" s="2080"/>
      <c r="F35" s="2080"/>
      <c r="G35" s="2080"/>
      <c r="H35" s="2080"/>
      <c r="I35" s="2080"/>
      <c r="J35" s="2080"/>
      <c r="K35" s="2080"/>
      <c r="L35" s="2080"/>
      <c r="M35" s="1416"/>
      <c r="N35" s="1416"/>
      <c r="Q35" s="2079">
        <f>+Q38/Q37</f>
        <v>0.97238069448558251</v>
      </c>
    </row>
    <row r="36" spans="1:19" ht="19.5" customHeight="1">
      <c r="A36" s="2080"/>
      <c r="B36" s="2080"/>
      <c r="C36" s="2080"/>
      <c r="D36" s="2080"/>
      <c r="E36" s="2080"/>
      <c r="F36" s="2080"/>
      <c r="G36" s="2080"/>
      <c r="H36" s="2080"/>
      <c r="I36" s="2080"/>
      <c r="J36" s="2080"/>
      <c r="K36" s="2080"/>
      <c r="L36" s="2080"/>
      <c r="M36" s="1416"/>
      <c r="N36" s="1416"/>
      <c r="Q36" s="2079"/>
    </row>
    <row r="37" spans="1:19" ht="59.25" customHeight="1">
      <c r="A37" s="2080"/>
      <c r="B37" s="2080"/>
      <c r="C37" s="2080"/>
      <c r="D37" s="2080"/>
      <c r="E37" s="2080"/>
      <c r="F37" s="2080"/>
      <c r="G37" s="2080"/>
      <c r="H37" s="2080"/>
      <c r="I37" s="2080"/>
      <c r="J37" s="2080"/>
      <c r="K37" s="2080"/>
      <c r="L37" s="2080"/>
      <c r="M37" s="1416"/>
      <c r="N37" s="1416"/>
      <c r="P37" s="1766" t="str">
        <f>+'III.1.3.Afil.SFSPob.Nac.'!C4</f>
        <v>Población Nacional estimada</v>
      </c>
      <c r="Q37" s="1767">
        <f>+'III.1.3.Afil.SFSPob.Nac.'!C22</f>
        <v>10864502</v>
      </c>
      <c r="R37" s="1768" t="s">
        <v>421</v>
      </c>
      <c r="S37" s="1768"/>
    </row>
    <row r="38" spans="1:19">
      <c r="A38" s="2080"/>
      <c r="B38" s="2080"/>
      <c r="C38" s="2080"/>
      <c r="D38" s="2080"/>
      <c r="E38" s="2080"/>
      <c r="F38" s="2080"/>
      <c r="G38" s="2080"/>
      <c r="H38" s="2080"/>
      <c r="I38" s="2080"/>
      <c r="J38" s="2080"/>
      <c r="K38" s="2080"/>
      <c r="L38" s="2080"/>
      <c r="M38" s="1416"/>
      <c r="N38" s="1416"/>
      <c r="P38" s="1613" t="str">
        <f>+'III.1.3.Afil.SFSPob.Nac.'!B4</f>
        <v>Afiliación SFS</v>
      </c>
      <c r="Q38" s="1614">
        <f>+'III.1.3.Afil.SFSPob.Nac.'!B22</f>
        <v>10564432</v>
      </c>
      <c r="R38" s="1769">
        <f>+'III.1.3.Afil.SFSPob.Nac.'!K21</f>
        <v>8.6406424049419742E-2</v>
      </c>
    </row>
    <row r="39" spans="1:19">
      <c r="A39" s="2080"/>
      <c r="B39" s="2080"/>
      <c r="C39" s="2080"/>
      <c r="D39" s="2080"/>
      <c r="E39" s="2080"/>
      <c r="F39" s="2080"/>
      <c r="G39" s="2080"/>
      <c r="H39" s="2080"/>
      <c r="I39" s="2080"/>
      <c r="J39" s="2080"/>
      <c r="K39" s="2080"/>
      <c r="L39" s="2080"/>
      <c r="M39" s="1416"/>
      <c r="N39" s="1416"/>
      <c r="P39" s="1613" t="s">
        <v>422</v>
      </c>
      <c r="Q39" s="1615">
        <v>0.44098440670702554</v>
      </c>
      <c r="R39" s="1616"/>
    </row>
    <row r="40" spans="1:19">
      <c r="A40" s="2080"/>
      <c r="B40" s="2080"/>
      <c r="C40" s="2080"/>
      <c r="D40" s="2080"/>
      <c r="E40" s="2080"/>
      <c r="F40" s="2080"/>
      <c r="G40" s="2080"/>
      <c r="H40" s="2080"/>
      <c r="I40" s="2080"/>
      <c r="J40" s="2080"/>
      <c r="K40" s="2080"/>
      <c r="L40" s="2080"/>
      <c r="M40" s="1417"/>
      <c r="N40" s="1417"/>
      <c r="P40" s="1613" t="s">
        <v>423</v>
      </c>
      <c r="Q40" s="1615">
        <v>0.54822941176810636</v>
      </c>
      <c r="R40" s="1616"/>
    </row>
    <row r="41" spans="1:19">
      <c r="A41" s="2080"/>
      <c r="B41" s="2080"/>
      <c r="C41" s="2080"/>
      <c r="D41" s="2080"/>
      <c r="E41" s="2080"/>
      <c r="F41" s="2080"/>
      <c r="G41" s="2080"/>
      <c r="H41" s="2080"/>
      <c r="I41" s="2080"/>
      <c r="J41" s="2080"/>
      <c r="K41" s="2080"/>
      <c r="L41" s="2080"/>
      <c r="M41" s="1417"/>
      <c r="N41" s="1417"/>
      <c r="P41" s="1613" t="s">
        <v>424</v>
      </c>
      <c r="Q41" s="1615">
        <v>1.0786181524868087E-2</v>
      </c>
      <c r="R41" s="1616"/>
    </row>
    <row r="42" spans="1:19" ht="30.75" customHeight="1">
      <c r="A42" s="2080"/>
      <c r="B42" s="2080"/>
      <c r="C42" s="2080"/>
      <c r="D42" s="2080"/>
      <c r="E42" s="2080"/>
      <c r="F42" s="2080"/>
      <c r="G42" s="2080"/>
      <c r="H42" s="2080"/>
      <c r="I42" s="2080"/>
      <c r="J42" s="2080"/>
      <c r="K42" s="2080"/>
      <c r="L42" s="2080"/>
      <c r="M42" s="1417"/>
      <c r="N42" s="1417"/>
    </row>
    <row r="43" spans="1:19">
      <c r="A43" s="2080"/>
      <c r="B43" s="2080"/>
      <c r="C43" s="2080"/>
      <c r="D43" s="2080"/>
      <c r="E43" s="2080"/>
      <c r="F43" s="2080"/>
      <c r="G43" s="2080"/>
      <c r="H43" s="2080"/>
      <c r="I43" s="2080"/>
      <c r="J43" s="2080"/>
      <c r="K43" s="2080"/>
      <c r="L43" s="2080"/>
      <c r="M43" s="1417"/>
      <c r="N43" s="1417"/>
      <c r="O43" s="1613"/>
      <c r="P43" s="1617" t="str">
        <f>+'III.1.5.Afil. SFS x sexo'!K4</f>
        <v>% Hombres6</v>
      </c>
      <c r="Q43" s="1617" t="str">
        <f>+'III.1.5.Afil. SFS x sexo'!M4</f>
        <v>% Mujeres8</v>
      </c>
    </row>
    <row r="44" spans="1:19">
      <c r="A44" s="2080"/>
      <c r="B44" s="2080"/>
      <c r="C44" s="2080"/>
      <c r="D44" s="2080"/>
      <c r="E44" s="2080"/>
      <c r="F44" s="2080"/>
      <c r="G44" s="2080"/>
      <c r="H44" s="2080"/>
      <c r="I44" s="2080"/>
      <c r="J44" s="2080"/>
      <c r="K44" s="2080"/>
      <c r="L44" s="2080"/>
      <c r="M44" s="1417"/>
      <c r="N44" s="1417"/>
      <c r="O44" s="1613" t="str">
        <f>+O50</f>
        <v>Abr.25</v>
      </c>
      <c r="P44" s="1618">
        <f>+'III.1.5.Afil. SFS x sexo'!K23</f>
        <v>0.49730116116306211</v>
      </c>
      <c r="Q44" s="1618">
        <f>+'III.1.5.Afil. SFS x sexo'!M23</f>
        <v>0.50269883883693789</v>
      </c>
    </row>
    <row r="45" spans="1:19">
      <c r="A45" s="2080"/>
      <c r="B45" s="2080"/>
      <c r="C45" s="2080"/>
      <c r="D45" s="2080"/>
      <c r="E45" s="2080"/>
      <c r="F45" s="2080"/>
      <c r="G45" s="2080"/>
      <c r="H45" s="2080"/>
      <c r="I45" s="2080"/>
      <c r="J45" s="2080"/>
      <c r="K45" s="2080"/>
      <c r="L45" s="2080"/>
      <c r="M45" s="1417"/>
      <c r="N45" s="1417"/>
      <c r="O45" s="1416"/>
      <c r="P45" s="1416"/>
      <c r="Q45" s="1416"/>
      <c r="R45" s="1416"/>
      <c r="S45" s="1416"/>
    </row>
    <row r="46" spans="1:19">
      <c r="A46" s="2080"/>
      <c r="B46" s="2080"/>
      <c r="C46" s="2080"/>
      <c r="D46" s="2080"/>
      <c r="E46" s="2080"/>
      <c r="F46" s="2080"/>
      <c r="G46" s="2080"/>
      <c r="H46" s="2080"/>
      <c r="I46" s="2080"/>
      <c r="J46" s="2080"/>
      <c r="K46" s="2080"/>
      <c r="L46" s="2080"/>
      <c r="M46" s="1417"/>
      <c r="N46" s="1417"/>
    </row>
    <row r="47" spans="1:19">
      <c r="A47" s="2080"/>
      <c r="B47" s="2080"/>
      <c r="C47" s="2080"/>
      <c r="D47" s="2080"/>
      <c r="E47" s="2080"/>
      <c r="F47" s="2080"/>
      <c r="G47" s="2080"/>
      <c r="H47" s="2080"/>
      <c r="I47" s="2080"/>
      <c r="J47" s="2080"/>
      <c r="K47" s="2080"/>
      <c r="L47" s="2080"/>
      <c r="M47" s="1417"/>
      <c r="N47" s="1417"/>
    </row>
    <row r="48" spans="1:19">
      <c r="A48" s="2080"/>
      <c r="B48" s="2080"/>
      <c r="C48" s="2080"/>
      <c r="D48" s="2080"/>
      <c r="E48" s="2080"/>
      <c r="F48" s="2080"/>
      <c r="G48" s="2080"/>
      <c r="H48" s="2080"/>
      <c r="I48" s="2080"/>
      <c r="J48" s="2080"/>
      <c r="K48" s="2080"/>
      <c r="L48" s="2080"/>
      <c r="M48" s="1417"/>
      <c r="N48" s="1417"/>
    </row>
    <row r="49" spans="1:23" ht="60">
      <c r="A49" s="2080"/>
      <c r="B49" s="2080"/>
      <c r="C49" s="2080"/>
      <c r="D49" s="2080"/>
      <c r="E49" s="2080"/>
      <c r="F49" s="2080"/>
      <c r="G49" s="2080"/>
      <c r="H49" s="2080"/>
      <c r="I49" s="2080"/>
      <c r="J49" s="2080"/>
      <c r="K49" s="2080"/>
      <c r="L49" s="2080"/>
      <c r="M49" s="1417"/>
      <c r="N49" s="1417"/>
      <c r="P49" s="1619" t="s">
        <v>425</v>
      </c>
      <c r="Q49" s="1619" t="s">
        <v>244</v>
      </c>
      <c r="R49" s="1619" t="s">
        <v>426</v>
      </c>
    </row>
    <row r="50" spans="1:23">
      <c r="A50" s="2080"/>
      <c r="B50" s="2080"/>
      <c r="C50" s="2080"/>
      <c r="D50" s="2080"/>
      <c r="E50" s="2080"/>
      <c r="F50" s="2080"/>
      <c r="G50" s="2080"/>
      <c r="H50" s="2080"/>
      <c r="I50" s="2080"/>
      <c r="J50" s="2080"/>
      <c r="K50" s="2080"/>
      <c r="L50" s="2080"/>
      <c r="M50" s="1417"/>
      <c r="N50" s="1417"/>
      <c r="O50" s="1613" t="str">
        <f>+Q34</f>
        <v>Abr.25</v>
      </c>
      <c r="P50" s="1618">
        <v>0.44098440670702554</v>
      </c>
      <c r="Q50" s="1618">
        <v>0.54822941176810636</v>
      </c>
      <c r="R50" s="1618">
        <v>1.0786181524868087E-2</v>
      </c>
    </row>
    <row r="51" spans="1:23">
      <c r="A51" s="2080"/>
      <c r="B51" s="2080"/>
      <c r="C51" s="2080"/>
      <c r="D51" s="2080"/>
      <c r="E51" s="2080"/>
      <c r="F51" s="2080"/>
      <c r="G51" s="2080"/>
      <c r="H51" s="2080"/>
      <c r="I51" s="2080"/>
      <c r="J51" s="2080"/>
      <c r="K51" s="2080"/>
      <c r="L51" s="2080"/>
      <c r="M51" s="1417"/>
      <c r="N51" s="1417"/>
      <c r="O51" s="1613" t="s">
        <v>427</v>
      </c>
      <c r="P51" s="1618">
        <f>4609177/10392346</f>
        <v>0.44351650724485114</v>
      </c>
      <c r="Q51" s="1618">
        <f>5783169/10392346</f>
        <v>0.55648349275514886</v>
      </c>
      <c r="R51" s="1618">
        <v>1.0786181524868087E-2</v>
      </c>
    </row>
    <row r="52" spans="1:23">
      <c r="A52" s="2080"/>
      <c r="B52" s="2080"/>
      <c r="C52" s="2080"/>
      <c r="D52" s="2080"/>
      <c r="E52" s="2080"/>
      <c r="F52" s="2080"/>
      <c r="G52" s="2080"/>
      <c r="H52" s="2080"/>
      <c r="I52" s="2080"/>
      <c r="J52" s="2080"/>
      <c r="K52" s="2080"/>
      <c r="L52" s="2080"/>
      <c r="M52" s="1417"/>
      <c r="N52" s="1417"/>
      <c r="P52" s="1620">
        <f>+P50-P51</f>
        <v>-2.532100537825599E-3</v>
      </c>
      <c r="Q52" s="1620">
        <f>+Q50-Q51</f>
        <v>-8.2540809870425003E-3</v>
      </c>
      <c r="R52" s="1620">
        <f>+R50-R51</f>
        <v>0</v>
      </c>
    </row>
    <row r="53" spans="1:23">
      <c r="A53" s="2080"/>
      <c r="B53" s="2080"/>
      <c r="C53" s="2080"/>
      <c r="D53" s="2080"/>
      <c r="E53" s="2080"/>
      <c r="F53" s="2080"/>
      <c r="G53" s="2080"/>
      <c r="H53" s="2080"/>
      <c r="I53" s="2080"/>
      <c r="J53" s="2080"/>
      <c r="K53" s="2080"/>
      <c r="L53" s="2080"/>
      <c r="M53" s="1417"/>
      <c r="N53" s="1417"/>
      <c r="P53" s="1620"/>
      <c r="Q53" s="1620"/>
      <c r="R53" s="1620"/>
    </row>
    <row r="54" spans="1:23">
      <c r="A54" s="2080"/>
      <c r="B54" s="2080"/>
      <c r="C54" s="2080"/>
      <c r="D54" s="2080"/>
      <c r="E54" s="2080"/>
      <c r="F54" s="2080"/>
      <c r="G54" s="2080"/>
      <c r="H54" s="2080"/>
      <c r="I54" s="2080"/>
      <c r="J54" s="2080"/>
      <c r="K54" s="2080"/>
      <c r="L54" s="2080"/>
      <c r="M54" s="1417"/>
      <c r="N54" s="1417"/>
      <c r="O54" s="1621"/>
      <c r="P54" s="1621"/>
      <c r="Q54" s="1621"/>
      <c r="R54" s="1621"/>
      <c r="S54" s="1621"/>
      <c r="T54" s="1621"/>
      <c r="U54" s="1621"/>
      <c r="V54" s="1621"/>
    </row>
    <row r="55" spans="1:23" ht="60">
      <c r="A55" s="2080"/>
      <c r="B55" s="2080"/>
      <c r="C55" s="2080"/>
      <c r="D55" s="2080"/>
      <c r="E55" s="2080"/>
      <c r="F55" s="2080"/>
      <c r="G55" s="2080"/>
      <c r="H55" s="2080"/>
      <c r="I55" s="2080"/>
      <c r="J55" s="2080"/>
      <c r="K55" s="2080"/>
      <c r="L55" s="2080"/>
      <c r="M55" s="1417"/>
      <c r="N55" s="1417"/>
      <c r="O55" s="1829" t="str">
        <f>+Tabla52[[#Headers],[Indice de Masculinidad (IM) del  RC]]</f>
        <v>Indice de Masculinidad (IM) del  RC</v>
      </c>
      <c r="P55" s="1831">
        <f>+'III.1.5.Afil. SFS x sexo'!O23</f>
        <v>0.98926260166750324</v>
      </c>
      <c r="Q55" s="1830" t="s">
        <v>428</v>
      </c>
      <c r="R55" s="1830"/>
      <c r="S55" s="1830"/>
      <c r="T55" s="1830"/>
      <c r="U55" s="1621"/>
      <c r="V55" s="1621"/>
    </row>
    <row r="56" spans="1:23" ht="60">
      <c r="A56" s="2080"/>
      <c r="B56" s="2080"/>
      <c r="C56" s="2080"/>
      <c r="D56" s="2080"/>
      <c r="E56" s="2080"/>
      <c r="F56" s="2080"/>
      <c r="G56" s="2080"/>
      <c r="H56" s="2080"/>
      <c r="I56" s="2080"/>
      <c r="J56" s="2080"/>
      <c r="K56" s="2080"/>
      <c r="L56" s="2080"/>
      <c r="M56" s="1417"/>
      <c r="N56" s="1417"/>
      <c r="O56" s="1829" t="str">
        <f>+Tabla52[[#Headers],[Indice de Feminidad (IF) RS]]</f>
        <v>Indice de Feminidad (IF) RS</v>
      </c>
      <c r="P56" s="1831">
        <f>+'III.1.5.Afil. SFS x sexo'!Q23</f>
        <v>1.0108539414250552</v>
      </c>
      <c r="Q56" s="1830" t="s">
        <v>429</v>
      </c>
      <c r="R56" s="1830"/>
      <c r="S56" s="1830"/>
      <c r="T56" s="1830"/>
      <c r="U56" s="1621"/>
      <c r="V56" s="1621"/>
    </row>
    <row r="58" spans="1:23">
      <c r="S58" s="1621" t="s">
        <v>430</v>
      </c>
      <c r="T58" s="1621"/>
      <c r="U58" s="1621"/>
      <c r="V58" s="1621"/>
      <c r="W58" s="1621"/>
    </row>
    <row r="59" spans="1:23">
      <c r="S59" s="1621"/>
      <c r="T59" s="1621"/>
      <c r="U59" s="1621"/>
      <c r="V59" s="1621"/>
      <c r="W59" s="1621"/>
    </row>
  </sheetData>
  <mergeCells count="4">
    <mergeCell ref="Q35:Q36"/>
    <mergeCell ref="A4:L56"/>
    <mergeCell ref="P29:R30"/>
    <mergeCell ref="P22:R28"/>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tabColor theme="8" tint="-0.249977111117893"/>
    <pageSetUpPr fitToPage="1"/>
  </sheetPr>
  <dimension ref="A1:P55"/>
  <sheetViews>
    <sheetView showGridLines="0" view="pageBreakPreview" topLeftCell="A7" zoomScale="40" zoomScaleNormal="100" zoomScaleSheetLayoutView="40" workbookViewId="0">
      <selection activeCell="F6" sqref="F6"/>
    </sheetView>
  </sheetViews>
  <sheetFormatPr defaultColWidth="11.42578125" defaultRowHeight="20.25" customHeight="1"/>
  <cols>
    <col min="1" max="1" width="40.85546875" style="337" bestFit="1" customWidth="1"/>
    <col min="2" max="2" width="36" style="307" customWidth="1"/>
    <col min="3" max="3" width="47.85546875" style="307" customWidth="1"/>
    <col min="4" max="4" width="47.28515625" style="307" customWidth="1"/>
    <col min="5" max="5" width="40.85546875" style="307" customWidth="1"/>
    <col min="6" max="6" width="31.42578125" style="307" customWidth="1"/>
    <col min="7" max="7" width="45" style="307" customWidth="1"/>
    <col min="8" max="8" width="37.7109375" style="307" customWidth="1"/>
    <col min="9" max="9" width="37.140625" style="307" customWidth="1"/>
    <col min="10" max="12" width="31.42578125" style="307" customWidth="1"/>
    <col min="13" max="14" width="45.28515625" style="329" customWidth="1"/>
    <col min="15" max="16384" width="11.42578125" style="307"/>
  </cols>
  <sheetData>
    <row r="1" spans="1:16" ht="91.5" customHeight="1">
      <c r="A1" s="2083" t="s">
        <v>431</v>
      </c>
      <c r="B1" s="2083"/>
      <c r="C1" s="2083"/>
      <c r="D1" s="2083"/>
      <c r="E1" s="2083"/>
      <c r="F1" s="2083"/>
      <c r="G1" s="2083"/>
      <c r="H1" s="2083"/>
      <c r="I1" s="2083"/>
      <c r="J1" s="2083"/>
      <c r="K1" s="1335"/>
      <c r="L1" s="1335"/>
    </row>
    <row r="2" spans="1:16" ht="57.75" customHeight="1">
      <c r="A2" s="2087" t="str">
        <f>+'III.1.4.Afil. SFS'!A2:K2</f>
        <v>Período:  Diciembre 2008 - Abril 2025</v>
      </c>
      <c r="B2" s="2087"/>
      <c r="C2" s="2087"/>
      <c r="D2" s="2087"/>
      <c r="E2" s="2087"/>
      <c r="F2" s="2087"/>
      <c r="G2" s="2087"/>
      <c r="H2" s="2087"/>
      <c r="I2" s="2087"/>
      <c r="J2" s="2087"/>
      <c r="K2" s="1336"/>
      <c r="L2" s="1336"/>
    </row>
    <row r="3" spans="1:16" ht="48.75" customHeight="1">
      <c r="A3" s="330"/>
      <c r="B3" s="330"/>
      <c r="C3" s="330"/>
      <c r="D3" s="330"/>
      <c r="E3" s="330"/>
      <c r="F3" s="330"/>
      <c r="G3" s="330"/>
      <c r="H3" s="330"/>
      <c r="I3" s="330"/>
      <c r="J3" s="330"/>
      <c r="K3" s="330"/>
      <c r="L3" s="330"/>
      <c r="M3" s="2088" t="s">
        <v>432</v>
      </c>
      <c r="N3" s="2089"/>
    </row>
    <row r="4" spans="1:16" s="332" customFormat="1" ht="83.25" customHeight="1">
      <c r="A4" s="939" t="s">
        <v>371</v>
      </c>
      <c r="B4" s="765" t="s">
        <v>230</v>
      </c>
      <c r="C4" s="765" t="s">
        <v>433</v>
      </c>
      <c r="D4" s="765" t="s">
        <v>434</v>
      </c>
      <c r="E4" s="766" t="s">
        <v>435</v>
      </c>
      <c r="F4" s="732"/>
      <c r="H4" s="331"/>
      <c r="I4" s="331"/>
      <c r="J4" s="331"/>
      <c r="K4" s="331"/>
      <c r="L4" s="331"/>
      <c r="M4" s="1367" t="s">
        <v>436</v>
      </c>
      <c r="N4" s="1368">
        <f>+(N7-N6)/N6</f>
        <v>1.2865237550789782E-3</v>
      </c>
    </row>
    <row r="5" spans="1:16" s="332" customFormat="1" ht="35.25" customHeight="1">
      <c r="A5" s="763" t="s">
        <v>437</v>
      </c>
      <c r="B5" s="940">
        <v>2916902</v>
      </c>
      <c r="C5" s="941">
        <v>9327818</v>
      </c>
      <c r="D5" s="942">
        <f t="shared" ref="D5:D14" si="0">B5/C5</f>
        <v>0.31271000356139023</v>
      </c>
      <c r="E5" s="943"/>
      <c r="H5" s="331"/>
      <c r="I5" s="331"/>
      <c r="J5" s="331"/>
      <c r="K5" s="1701">
        <f>+(B6-Tabla5[[#This Row],[Afiliación SFS]])/Tabla5[[#This Row],[Afiliación SFS]]</f>
        <v>0.20487626941186232</v>
      </c>
      <c r="L5" s="331"/>
    </row>
    <row r="6" spans="1:16" s="332" customFormat="1" ht="35.25" customHeight="1">
      <c r="A6" s="763" t="s">
        <v>438</v>
      </c>
      <c r="B6" s="940">
        <v>3514506</v>
      </c>
      <c r="C6" s="941">
        <v>9428533.4999999963</v>
      </c>
      <c r="D6" s="942">
        <f t="shared" si="0"/>
        <v>0.37275213584381933</v>
      </c>
      <c r="E6" s="943">
        <f>+(B6-B5)/B5</f>
        <v>0.20487626941186232</v>
      </c>
      <c r="H6" s="331"/>
      <c r="I6" s="331"/>
      <c r="J6" s="331"/>
      <c r="K6" s="1701">
        <f>+(B7-Tabla5[[#This Row],[Afiliación SFS]])/Tabla5[[#This Row],[Afiliación SFS]]</f>
        <v>0.25336932132140333</v>
      </c>
      <c r="M6" s="1366" t="s">
        <v>439</v>
      </c>
      <c r="N6" s="1366">
        <v>10392346</v>
      </c>
    </row>
    <row r="7" spans="1:16" s="332" customFormat="1" ht="35.25" customHeight="1">
      <c r="A7" s="763" t="s">
        <v>440</v>
      </c>
      <c r="B7" s="940">
        <v>4404974</v>
      </c>
      <c r="C7" s="941">
        <v>9529297.5000000037</v>
      </c>
      <c r="D7" s="942">
        <f t="shared" si="0"/>
        <v>0.46225590081535373</v>
      </c>
      <c r="E7" s="943">
        <f t="shared" ref="E7:E19" si="1">+(B7-B6)/B6</f>
        <v>0.25336932132140333</v>
      </c>
      <c r="H7" s="331"/>
      <c r="I7" s="331"/>
      <c r="J7" s="331"/>
      <c r="K7" s="1701">
        <f>+(B8-Tabla5[[#This Row],[Afiliación SFS]])/Tabla5[[#This Row],[Afiliación SFS]]</f>
        <v>3.3053997594537449E-2</v>
      </c>
      <c r="L7" s="331"/>
      <c r="M7" s="1366" t="s">
        <v>441</v>
      </c>
      <c r="N7" s="1366">
        <v>10405716</v>
      </c>
    </row>
    <row r="8" spans="1:16" s="332" customFormat="1" ht="35.25" customHeight="1">
      <c r="A8" s="763" t="s">
        <v>442</v>
      </c>
      <c r="B8" s="940">
        <v>4550576</v>
      </c>
      <c r="C8" s="941">
        <v>9630258.5</v>
      </c>
      <c r="D8" s="942">
        <f t="shared" si="0"/>
        <v>0.47252895651762616</v>
      </c>
      <c r="E8" s="943">
        <f t="shared" si="1"/>
        <v>3.3053997594537449E-2</v>
      </c>
      <c r="H8" s="331"/>
      <c r="I8" s="331"/>
      <c r="J8" s="331"/>
      <c r="K8" s="1701">
        <f>+(B9-Tabla5[[#This Row],[Afiliación SFS]])/Tabla5[[#This Row],[Afiliación SFS]]</f>
        <v>0.10369874055504183</v>
      </c>
      <c r="M8" s="1366"/>
      <c r="N8" s="1366">
        <f>+N7-N6</f>
        <v>13370</v>
      </c>
    </row>
    <row r="9" spans="1:16" s="332" customFormat="1" ht="35.25" customHeight="1">
      <c r="A9" s="944" t="s">
        <v>443</v>
      </c>
      <c r="B9" s="940">
        <v>5022465</v>
      </c>
      <c r="C9" s="945">
        <v>9730638.5</v>
      </c>
      <c r="D9" s="946">
        <f t="shared" si="0"/>
        <v>0.51614958257877941</v>
      </c>
      <c r="E9" s="943">
        <f t="shared" si="1"/>
        <v>0.10369874055504183</v>
      </c>
      <c r="H9" s="331"/>
      <c r="I9" s="331"/>
      <c r="J9" s="331"/>
      <c r="K9" s="1701">
        <f>+(B10-Tabla5[[#This Row],[Afiliación SFS]])/Tabla5[[#This Row],[Afiliación SFS]]</f>
        <v>0.122622457299354</v>
      </c>
      <c r="L9" s="331"/>
      <c r="M9" s="1366"/>
      <c r="N9" s="1366"/>
    </row>
    <row r="10" spans="1:16" s="332" customFormat="1" ht="35.25" customHeight="1">
      <c r="A10" s="944" t="s">
        <v>444</v>
      </c>
      <c r="B10" s="940">
        <v>5638332</v>
      </c>
      <c r="C10" s="945">
        <v>9830624</v>
      </c>
      <c r="D10" s="946">
        <f t="shared" si="0"/>
        <v>0.57354772189435788</v>
      </c>
      <c r="E10" s="943">
        <f t="shared" si="1"/>
        <v>0.122622457299354</v>
      </c>
      <c r="H10" s="331"/>
      <c r="I10" s="331"/>
      <c r="J10" s="331"/>
      <c r="K10" s="1701">
        <f>+(B11-Tabla5[[#This Row],[Afiliación SFS]])/Tabla5[[#This Row],[Afiliación SFS]]</f>
        <v>9.7419414110414215E-2</v>
      </c>
    </row>
    <row r="11" spans="1:16" s="332" customFormat="1" ht="35.25" customHeight="1">
      <c r="A11" s="944" t="s">
        <v>445</v>
      </c>
      <c r="B11" s="940">
        <v>6187615</v>
      </c>
      <c r="C11" s="945">
        <v>9930374</v>
      </c>
      <c r="D11" s="946">
        <f t="shared" si="0"/>
        <v>0.62309989533123322</v>
      </c>
      <c r="E11" s="943">
        <f t="shared" si="1"/>
        <v>9.7419414110414215E-2</v>
      </c>
      <c r="H11" s="331"/>
      <c r="I11" s="331"/>
      <c r="J11" s="331"/>
      <c r="K11" s="1701">
        <f>+(B12-Tabla5[[#This Row],[Afiliación SFS]])/Tabla5[[#This Row],[Afiliación SFS]]</f>
        <v>8.0831952214221472E-2</v>
      </c>
      <c r="L11" s="331"/>
      <c r="M11" s="2090" t="s">
        <v>446</v>
      </c>
      <c r="N11" s="2091"/>
      <c r="O11" s="2091"/>
      <c r="P11" s="2091"/>
    </row>
    <row r="12" spans="1:16" s="332" customFormat="1" ht="35.25" customHeight="1">
      <c r="A12" s="763" t="s">
        <v>447</v>
      </c>
      <c r="B12" s="940">
        <v>6687772</v>
      </c>
      <c r="C12" s="945">
        <v>10028012</v>
      </c>
      <c r="D12" s="946">
        <f t="shared" si="0"/>
        <v>0.66690905435693537</v>
      </c>
      <c r="E12" s="943">
        <f t="shared" si="1"/>
        <v>8.0831952214221472E-2</v>
      </c>
      <c r="H12" s="331"/>
      <c r="I12" s="331"/>
      <c r="J12" s="331"/>
      <c r="K12" s="1701">
        <f>+(B13-Tabla5[[#This Row],[Afiliación SFS]])/Tabla5[[#This Row],[Afiliación SFS]]</f>
        <v>4.3884869280830748E-2</v>
      </c>
      <c r="M12" s="2091"/>
      <c r="N12" s="2091"/>
      <c r="O12" s="2091"/>
      <c r="P12" s="2091"/>
    </row>
    <row r="13" spans="1:16" s="332" customFormat="1" ht="35.25" customHeight="1">
      <c r="A13" s="763" t="s">
        <v>448</v>
      </c>
      <c r="B13" s="940">
        <v>6981264</v>
      </c>
      <c r="C13" s="945">
        <v>10123139</v>
      </c>
      <c r="D13" s="946">
        <f t="shared" si="0"/>
        <v>0.68963431204491021</v>
      </c>
      <c r="E13" s="943">
        <f t="shared" si="1"/>
        <v>4.3884869280830748E-2</v>
      </c>
      <c r="H13" s="331"/>
      <c r="I13" s="331"/>
      <c r="J13" s="331"/>
      <c r="K13" s="1701">
        <f>+(B14-Tabla5[[#This Row],[Afiliación SFS]])/Tabla5[[#This Row],[Afiliación SFS]]</f>
        <v>7.7741222792892514E-2</v>
      </c>
      <c r="L13" s="331"/>
      <c r="M13" s="2091"/>
      <c r="N13" s="2091"/>
      <c r="O13" s="2091"/>
      <c r="P13" s="2091"/>
    </row>
    <row r="14" spans="1:16" s="332" customFormat="1" ht="35.25" customHeight="1">
      <c r="A14" s="763" t="s">
        <v>449</v>
      </c>
      <c r="B14" s="940">
        <v>7523996</v>
      </c>
      <c r="C14" s="945">
        <v>10217441</v>
      </c>
      <c r="D14" s="946">
        <f t="shared" si="0"/>
        <v>0.73638751620880416</v>
      </c>
      <c r="E14" s="943">
        <f t="shared" si="1"/>
        <v>7.7741222792892514E-2</v>
      </c>
      <c r="H14" s="331"/>
      <c r="I14" s="331"/>
      <c r="J14" s="331"/>
      <c r="K14" s="1701">
        <f>+(B15-Tabla5[[#This Row],[Afiliación SFS]])/Tabla5[[#This Row],[Afiliación SFS]]</f>
        <v>4.5725170507799312E-2</v>
      </c>
      <c r="M14" s="2091"/>
      <c r="N14" s="2091"/>
      <c r="O14" s="2091"/>
      <c r="P14" s="2091"/>
    </row>
    <row r="15" spans="1:16" s="332" customFormat="1" ht="35.25" customHeight="1">
      <c r="A15" s="944" t="s">
        <v>450</v>
      </c>
      <c r="B15" s="940">
        <v>7868032</v>
      </c>
      <c r="C15" s="945">
        <v>10310703</v>
      </c>
      <c r="D15" s="946">
        <f t="shared" ref="D15:D19" si="2">B15/C15</f>
        <v>0.76309365132522966</v>
      </c>
      <c r="E15" s="943">
        <f t="shared" si="1"/>
        <v>4.5725170507799312E-2</v>
      </c>
      <c r="H15" s="331"/>
      <c r="I15" s="331"/>
      <c r="J15" s="331"/>
      <c r="K15" s="1701">
        <f>+(B16-Tabla5[[#This Row],[Afiliación SFS]])/Tabla5[[#This Row],[Afiliación SFS]]</f>
        <v>3.2505205876132683E-2</v>
      </c>
      <c r="M15" s="2091"/>
      <c r="N15" s="2091"/>
      <c r="O15" s="2091"/>
      <c r="P15" s="2091"/>
    </row>
    <row r="16" spans="1:16" s="332" customFormat="1" ht="35.25" customHeight="1">
      <c r="A16" s="944" t="s">
        <v>451</v>
      </c>
      <c r="B16" s="940">
        <v>8123784</v>
      </c>
      <c r="C16" s="945">
        <v>10402759</v>
      </c>
      <c r="D16" s="946">
        <f t="shared" si="2"/>
        <v>0.78092590629082148</v>
      </c>
      <c r="E16" s="943">
        <f t="shared" si="1"/>
        <v>3.2505205876132683E-2</v>
      </c>
      <c r="H16" s="331"/>
      <c r="I16" s="331"/>
      <c r="J16" s="331"/>
      <c r="K16" s="1701">
        <f>+(B17-Tabla5[[#This Row],[Afiliación SFS]])/Tabla5[[#This Row],[Afiliación SFS]]</f>
        <v>0.2380519964587931</v>
      </c>
      <c r="M16" s="2091"/>
      <c r="N16" s="2091"/>
      <c r="O16" s="2091"/>
      <c r="P16" s="2091"/>
    </row>
    <row r="17" spans="1:16" s="332" customFormat="1" ht="35.25" customHeight="1">
      <c r="A17" s="944" t="s">
        <v>452</v>
      </c>
      <c r="B17" s="940">
        <v>10057667</v>
      </c>
      <c r="C17" s="945">
        <v>10492017</v>
      </c>
      <c r="D17" s="946">
        <f t="shared" si="2"/>
        <v>0.9586018589180707</v>
      </c>
      <c r="E17" s="943">
        <f t="shared" si="1"/>
        <v>0.2380519964587931</v>
      </c>
      <c r="H17" s="331"/>
      <c r="I17" s="331"/>
      <c r="J17" s="331"/>
      <c r="K17" s="1701">
        <f>+(B18-Tabla5[[#This Row],[Afiliación SFS]])/Tabla5[[#This Row],[Afiliación SFS]]</f>
        <v>7.2638117766277207E-3</v>
      </c>
    </row>
    <row r="18" spans="1:16" s="332" customFormat="1" ht="35.25" customHeight="1">
      <c r="A18" s="944" t="s">
        <v>453</v>
      </c>
      <c r="B18" s="940">
        <v>10130724</v>
      </c>
      <c r="C18" s="945">
        <v>10578737</v>
      </c>
      <c r="D18" s="946">
        <f t="shared" si="2"/>
        <v>0.9576496702772741</v>
      </c>
      <c r="E18" s="943">
        <f t="shared" si="1"/>
        <v>7.2638117766277207E-3</v>
      </c>
      <c r="H18" s="331"/>
      <c r="I18" s="331"/>
      <c r="J18" s="331"/>
      <c r="K18" s="1701">
        <f>+(B19-Tabla5[[#This Row],[Afiliación SFS]])/Tabla5[[#This Row],[Afiliación SFS]]</f>
        <v>3.0877654943516377E-2</v>
      </c>
    </row>
    <row r="19" spans="1:16" s="332" customFormat="1" ht="35.25" customHeight="1">
      <c r="A19" s="948" t="s">
        <v>454</v>
      </c>
      <c r="B19" s="940">
        <v>10443537</v>
      </c>
      <c r="C19" s="945">
        <v>10666547</v>
      </c>
      <c r="D19" s="946">
        <f t="shared" si="2"/>
        <v>0.97909257794485882</v>
      </c>
      <c r="E19" s="943">
        <f t="shared" si="1"/>
        <v>3.0877654943516377E-2</v>
      </c>
      <c r="H19" s="331"/>
      <c r="I19" s="331"/>
      <c r="J19" s="331"/>
      <c r="K19" s="1701">
        <f>+(B20-Tabla5[[#This Row],[Afiliación SFS]])/Tabla5[[#This Row],[Afiliación SFS]]</f>
        <v>-6.1598862530960535E-3</v>
      </c>
    </row>
    <row r="20" spans="1:16" s="332" customFormat="1" ht="35.25" customHeight="1">
      <c r="A20" s="948">
        <v>2023</v>
      </c>
      <c r="B20" s="940">
        <v>10379206</v>
      </c>
      <c r="C20" s="945">
        <v>10753416</v>
      </c>
      <c r="D20" s="946">
        <f>B20/C20</f>
        <v>0.96520082548652442</v>
      </c>
      <c r="E20" s="947">
        <f>+(B20-B19)/B19</f>
        <v>-6.1598862530960535E-3</v>
      </c>
      <c r="K20" s="1701">
        <f>+(B21-Tabla5[[#This Row],[Afiliación SFS]])/Tabla5[[#This Row],[Afiliación SFS]]</f>
        <v>1.6740586900385251E-2</v>
      </c>
      <c r="M20" s="1325">
        <f>+Tabla5[[#This Row],[Afiliación SFS]]-B20</f>
        <v>0</v>
      </c>
      <c r="N20" s="1324">
        <f>+Tabla5[[#This Row],[% Población Total Afiliada al  SFS]]-D20</f>
        <v>0</v>
      </c>
    </row>
    <row r="21" spans="1:16" s="332" customFormat="1" ht="35.25" customHeight="1">
      <c r="A21" s="1075">
        <v>2024</v>
      </c>
      <c r="B21" s="940">
        <v>10552960</v>
      </c>
      <c r="C21" s="945">
        <v>10836972</v>
      </c>
      <c r="D21" s="946">
        <f t="shared" ref="D21:D22" si="3">B21/C21</f>
        <v>0.97379231025050172</v>
      </c>
      <c r="E21" s="947">
        <f>+(B21-B20)/B20</f>
        <v>1.6740586900385251E-2</v>
      </c>
      <c r="K21" s="1702">
        <f>AVERAGE(K5:K20)</f>
        <v>8.6406424049419742E-2</v>
      </c>
    </row>
    <row r="22" spans="1:16" s="333" customFormat="1" ht="27.75">
      <c r="A22" s="1075" t="str">
        <f>+'Resumen '!O5</f>
        <v>Abr.25</v>
      </c>
      <c r="B22" s="940">
        <f>+'Resumen '!C30+'Resumen '!C39+'Resumen '!B33</f>
        <v>10564432</v>
      </c>
      <c r="C22" s="945">
        <f>+'Resumen '!B4</f>
        <v>10864502</v>
      </c>
      <c r="D22" s="946">
        <f t="shared" si="3"/>
        <v>0.97238069448558251</v>
      </c>
      <c r="E22" s="947"/>
      <c r="M22" s="2092"/>
      <c r="N22" s="2092"/>
      <c r="O22" s="2092"/>
      <c r="P22" s="2092"/>
    </row>
    <row r="23" spans="1:16" ht="70.5" customHeight="1">
      <c r="A23" s="2084" t="s">
        <v>455</v>
      </c>
      <c r="B23" s="2085"/>
      <c r="C23" s="2085"/>
      <c r="D23" s="2085"/>
      <c r="E23" s="2086"/>
      <c r="M23" s="2092"/>
      <c r="N23" s="2092"/>
      <c r="O23" s="2092"/>
      <c r="P23" s="2092"/>
    </row>
    <row r="24" spans="1:16" ht="20.25" customHeight="1">
      <c r="A24" s="335"/>
      <c r="B24" s="336"/>
      <c r="K24" s="333" t="e">
        <f>+Tabla5[[#This Row],[Afiliación SFS]]-'Resumen '!C22</f>
        <v>#VALUE!</v>
      </c>
      <c r="M24" s="2092"/>
      <c r="N24" s="2092"/>
      <c r="O24" s="2092"/>
      <c r="P24" s="2092"/>
    </row>
    <row r="25" spans="1:16" ht="53.25" customHeight="1">
      <c r="M25" s="2092"/>
      <c r="N25" s="2092"/>
      <c r="O25" s="2092"/>
      <c r="P25" s="2092"/>
    </row>
    <row r="26" spans="1:16" ht="20.25" customHeight="1">
      <c r="M26" s="2092"/>
      <c r="N26" s="2092"/>
      <c r="O26" s="2092"/>
      <c r="P26" s="2092"/>
    </row>
    <row r="27" spans="1:16" ht="20.25" customHeight="1">
      <c r="M27" s="2092"/>
      <c r="N27" s="2092"/>
      <c r="O27" s="2092"/>
      <c r="P27" s="2092"/>
    </row>
    <row r="28" spans="1:16" ht="20.25" customHeight="1">
      <c r="M28" s="2092"/>
      <c r="N28" s="2092"/>
      <c r="O28" s="2092"/>
      <c r="P28" s="2092"/>
    </row>
    <row r="29" spans="1:16" ht="20.25" customHeight="1">
      <c r="M29" s="2092"/>
      <c r="N29" s="2092"/>
      <c r="O29" s="2092"/>
      <c r="P29" s="2092"/>
    </row>
    <row r="30" spans="1:16" ht="20.25" customHeight="1">
      <c r="M30" s="2092"/>
      <c r="N30" s="2092"/>
      <c r="O30" s="2092"/>
      <c r="P30" s="2092"/>
    </row>
    <row r="31" spans="1:16" ht="20.25" customHeight="1">
      <c r="M31" s="2092"/>
      <c r="N31" s="2092"/>
      <c r="O31" s="2092"/>
      <c r="P31" s="2092"/>
    </row>
    <row r="32" spans="1:16" ht="20.25" customHeight="1">
      <c r="M32" s="2092"/>
      <c r="N32" s="2092"/>
      <c r="O32" s="2092"/>
      <c r="P32" s="2092"/>
    </row>
    <row r="33" spans="13:16" ht="20.25" customHeight="1">
      <c r="M33" s="2092"/>
      <c r="N33" s="2092"/>
      <c r="O33" s="2092"/>
      <c r="P33" s="2092"/>
    </row>
    <row r="34" spans="13:16" ht="57" customHeight="1"/>
    <row r="44" spans="13:16" ht="125.25" customHeight="1"/>
    <row r="48" spans="13:16" ht="91.5" customHeight="1"/>
    <row r="49" ht="39" customHeight="1"/>
    <row r="50" ht="55.5" customHeight="1"/>
    <row r="51" ht="24" customHeight="1"/>
    <row r="52" ht="43.5" customHeight="1"/>
    <row r="53" ht="25.5" customHeight="1"/>
    <row r="54" ht="25.5" customHeight="1"/>
    <row r="55" ht="25.5" customHeight="1"/>
  </sheetData>
  <mergeCells count="6">
    <mergeCell ref="A1:J1"/>
    <mergeCell ref="A23:E23"/>
    <mergeCell ref="A2:J2"/>
    <mergeCell ref="M3:N3"/>
    <mergeCell ref="M11:P16"/>
    <mergeCell ref="M22:P33"/>
  </mergeCells>
  <conditionalFormatting sqref="C10:C20">
    <cfRule type="cellIs" dxfId="712" priority="7" operator="equal">
      <formula>0</formula>
    </cfRule>
    <cfRule type="cellIs" dxfId="711" priority="8" operator="equal">
      <formula>0</formula>
    </cfRule>
  </conditionalFormatting>
  <conditionalFormatting sqref="B21:C21">
    <cfRule type="cellIs" dxfId="710" priority="5" operator="equal">
      <formula>0</formula>
    </cfRule>
    <cfRule type="cellIs" dxfId="709" priority="6" operator="equal">
      <formula>0</formula>
    </cfRule>
  </conditionalFormatting>
  <conditionalFormatting sqref="C22">
    <cfRule type="cellIs" dxfId="708" priority="3" operator="equal">
      <formula>0</formula>
    </cfRule>
    <cfRule type="cellIs" dxfId="707" priority="4" operator="equal">
      <formula>0</formula>
    </cfRule>
  </conditionalFormatting>
  <conditionalFormatting sqref="B22">
    <cfRule type="cellIs" dxfId="706" priority="1" operator="equal">
      <formula>0</formula>
    </cfRule>
    <cfRule type="cellIs" dxfId="705"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6" tint="0.39997558519241921"/>
    <pageSetUpPr fitToPage="1"/>
  </sheetPr>
  <dimension ref="P1:P89"/>
  <sheetViews>
    <sheetView showGridLines="0" view="pageBreakPreview" topLeftCell="A4" zoomScale="25" zoomScaleNormal="100" zoomScaleSheetLayoutView="25" workbookViewId="0">
      <selection activeCell="S88" sqref="S88"/>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1</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249977111117893"/>
    <pageSetUpPr fitToPage="1"/>
  </sheetPr>
  <dimension ref="A1:L41"/>
  <sheetViews>
    <sheetView showGridLines="0" view="pageBreakPreview" zoomScale="85" zoomScaleNormal="100" zoomScaleSheetLayoutView="85" zoomScalePageLayoutView="62" workbookViewId="0">
      <selection activeCell="K17" sqref="K17"/>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25" customWidth="1"/>
  </cols>
  <sheetData>
    <row r="1" spans="1:11" ht="46.5" customHeight="1">
      <c r="A1" s="2093" t="s">
        <v>456</v>
      </c>
      <c r="B1" s="2093"/>
      <c r="C1" s="2093"/>
      <c r="D1" s="2093"/>
      <c r="E1" s="2093"/>
      <c r="F1" s="2093"/>
      <c r="G1" s="2093"/>
      <c r="H1" s="2093"/>
      <c r="I1" s="2093"/>
      <c r="J1" s="2093"/>
      <c r="K1" s="2093"/>
    </row>
    <row r="2" spans="1:11" ht="24" customHeight="1">
      <c r="A2" s="2094" t="str">
        <f>+'Resumen '!O4</f>
        <v>Período:  Diciembre 2008 - Abril 2025</v>
      </c>
      <c r="B2" s="2094"/>
      <c r="C2" s="2094"/>
      <c r="D2" s="2094"/>
      <c r="E2" s="2094"/>
      <c r="F2" s="2094"/>
      <c r="G2" s="2094"/>
      <c r="H2" s="2094"/>
      <c r="I2" s="2094"/>
      <c r="J2" s="2094"/>
      <c r="K2" s="2094"/>
    </row>
    <row r="3" spans="1:11" ht="6" customHeight="1">
      <c r="H3"/>
      <c r="I3"/>
      <c r="J3"/>
      <c r="K3"/>
    </row>
    <row r="4" spans="1:11" ht="19.5" customHeight="1">
      <c r="A4" s="1408" t="s">
        <v>231</v>
      </c>
      <c r="B4" s="1409" t="s">
        <v>425</v>
      </c>
      <c r="C4" s="1409" t="s">
        <v>244</v>
      </c>
      <c r="D4" s="1409" t="s">
        <v>426</v>
      </c>
      <c r="E4" s="1410" t="s">
        <v>243</v>
      </c>
      <c r="F4" s="1411" t="s">
        <v>457</v>
      </c>
      <c r="G4" s="1411" t="s">
        <v>458</v>
      </c>
      <c r="H4" s="1412" t="s">
        <v>459</v>
      </c>
      <c r="I4" s="1218"/>
      <c r="J4" s="1218"/>
      <c r="K4" s="1218"/>
    </row>
    <row r="5" spans="1:11" s="1225" customFormat="1">
      <c r="A5" s="1219" t="s">
        <v>460</v>
      </c>
      <c r="B5" s="1220">
        <v>1692259</v>
      </c>
      <c r="C5" s="1220">
        <v>1224643</v>
      </c>
      <c r="D5" s="1220">
        <v>0</v>
      </c>
      <c r="E5" s="1221">
        <f t="shared" ref="E5:E22" si="0">SUM(B5:D5)</f>
        <v>2916902</v>
      </c>
      <c r="F5" s="1222">
        <f t="shared" ref="F5:F15" si="1">B5/E5</f>
        <v>0.5801562753908085</v>
      </c>
      <c r="G5" s="1222">
        <f t="shared" ref="G5:G15" si="2">C5/E5</f>
        <v>0.41984372460919156</v>
      </c>
      <c r="H5" s="1223">
        <f t="shared" ref="H5:H15" si="3">+D5/E5</f>
        <v>0</v>
      </c>
      <c r="I5" s="1224"/>
      <c r="J5" s="1224"/>
      <c r="K5" s="1224"/>
    </row>
    <row r="6" spans="1:11" s="1225" customFormat="1">
      <c r="A6" s="1219" t="s">
        <v>461</v>
      </c>
      <c r="B6" s="1220">
        <v>2088299</v>
      </c>
      <c r="C6" s="1220">
        <v>1404225</v>
      </c>
      <c r="D6" s="1220">
        <v>21982</v>
      </c>
      <c r="E6" s="1221">
        <f t="shared" si="0"/>
        <v>3514506</v>
      </c>
      <c r="F6" s="1222">
        <f t="shared" si="1"/>
        <v>0.59419417693411247</v>
      </c>
      <c r="G6" s="1222">
        <f t="shared" si="2"/>
        <v>0.39955117447516092</v>
      </c>
      <c r="H6" s="1223">
        <f t="shared" si="3"/>
        <v>6.2546485907265491E-3</v>
      </c>
      <c r="I6" s="1224"/>
      <c r="J6" s="1224"/>
      <c r="K6" s="1224"/>
    </row>
    <row r="7" spans="1:11" s="1225" customFormat="1">
      <c r="A7" s="1219" t="s">
        <v>462</v>
      </c>
      <c r="B7" s="1220">
        <v>2364083</v>
      </c>
      <c r="C7" s="1220">
        <v>2013786</v>
      </c>
      <c r="D7" s="1220">
        <v>27105</v>
      </c>
      <c r="E7" s="1221">
        <f t="shared" si="0"/>
        <v>4404974</v>
      </c>
      <c r="F7" s="1222">
        <f t="shared" si="1"/>
        <v>0.53668489303228573</v>
      </c>
      <c r="G7" s="1222">
        <f t="shared" si="2"/>
        <v>0.45716183568847396</v>
      </c>
      <c r="H7" s="1223">
        <f t="shared" si="3"/>
        <v>6.1532712792402404E-3</v>
      </c>
      <c r="I7" s="1224"/>
      <c r="J7" s="1224"/>
      <c r="K7" s="1224"/>
    </row>
    <row r="8" spans="1:11" s="1225" customFormat="1">
      <c r="A8" s="1219" t="s">
        <v>463</v>
      </c>
      <c r="B8" s="1220">
        <v>2517423</v>
      </c>
      <c r="C8" s="1220">
        <v>2003427</v>
      </c>
      <c r="D8" s="1220">
        <v>29726</v>
      </c>
      <c r="E8" s="1221">
        <f t="shared" si="0"/>
        <v>4550576</v>
      </c>
      <c r="F8" s="1222">
        <f t="shared" si="1"/>
        <v>0.55320974751328178</v>
      </c>
      <c r="G8" s="1222">
        <f t="shared" si="2"/>
        <v>0.44025789262721904</v>
      </c>
      <c r="H8" s="1223">
        <f t="shared" si="3"/>
        <v>6.5323598594991053E-3</v>
      </c>
      <c r="I8" s="1224"/>
      <c r="J8" s="1224"/>
      <c r="K8" s="1224"/>
    </row>
    <row r="9" spans="1:11" s="1225" customFormat="1">
      <c r="A9" s="1219" t="s">
        <v>464</v>
      </c>
      <c r="B9" s="1220">
        <v>2688411</v>
      </c>
      <c r="C9" s="1220">
        <v>2303351</v>
      </c>
      <c r="D9" s="1220">
        <v>30703</v>
      </c>
      <c r="E9" s="1221">
        <f t="shared" si="0"/>
        <v>5022465</v>
      </c>
      <c r="F9" s="1222">
        <f t="shared" si="1"/>
        <v>0.53527719954245578</v>
      </c>
      <c r="G9" s="1222">
        <f t="shared" si="2"/>
        <v>0.45860966676721493</v>
      </c>
      <c r="H9" s="1223">
        <f t="shared" si="3"/>
        <v>6.1131336903293499E-3</v>
      </c>
      <c r="I9" s="1224"/>
      <c r="J9" s="1224"/>
      <c r="K9" s="1224"/>
    </row>
    <row r="10" spans="1:11" s="1225" customFormat="1">
      <c r="A10" s="1219" t="s">
        <v>465</v>
      </c>
      <c r="B10" s="1220">
        <v>2859306</v>
      </c>
      <c r="C10" s="1220">
        <v>2751753</v>
      </c>
      <c r="D10" s="1220">
        <v>27273</v>
      </c>
      <c r="E10" s="1221">
        <f t="shared" si="0"/>
        <v>5638332</v>
      </c>
      <c r="F10" s="1222">
        <f t="shared" si="1"/>
        <v>0.50711912672045567</v>
      </c>
      <c r="G10" s="1222">
        <f t="shared" si="2"/>
        <v>0.48804380444429307</v>
      </c>
      <c r="H10" s="1223">
        <f t="shared" si="3"/>
        <v>4.8370688352512761E-3</v>
      </c>
      <c r="I10" s="1224"/>
      <c r="J10" s="1224"/>
      <c r="K10" s="1224"/>
    </row>
    <row r="11" spans="1:11" s="1225" customFormat="1">
      <c r="A11" s="1219" t="s">
        <v>466</v>
      </c>
      <c r="B11" s="1220">
        <v>3141599</v>
      </c>
      <c r="C11" s="1220">
        <v>3015646</v>
      </c>
      <c r="D11" s="1220">
        <v>30370</v>
      </c>
      <c r="E11" s="1221">
        <f t="shared" si="0"/>
        <v>6187615</v>
      </c>
      <c r="F11" s="1222">
        <f t="shared" si="1"/>
        <v>0.50772373523562797</v>
      </c>
      <c r="G11" s="1222">
        <f t="shared" si="2"/>
        <v>0.48736807315904429</v>
      </c>
      <c r="H11" s="1223">
        <f t="shared" si="3"/>
        <v>4.9081916053277394E-3</v>
      </c>
      <c r="I11" s="1224"/>
      <c r="J11" s="1224"/>
      <c r="K11" s="1224"/>
    </row>
    <row r="12" spans="1:11" s="1225" customFormat="1">
      <c r="A12" s="1219" t="s">
        <v>467</v>
      </c>
      <c r="B12" s="1220">
        <v>3339838</v>
      </c>
      <c r="C12" s="1220">
        <v>3317405</v>
      </c>
      <c r="D12" s="1220">
        <v>30529</v>
      </c>
      <c r="E12" s="1221">
        <f t="shared" si="0"/>
        <v>6687772</v>
      </c>
      <c r="F12" s="1222">
        <f t="shared" si="1"/>
        <v>0.49939471620743053</v>
      </c>
      <c r="G12" s="1222">
        <f t="shared" si="2"/>
        <v>0.4960403853480651</v>
      </c>
      <c r="H12" s="1223">
        <f t="shared" si="3"/>
        <v>4.5648984445043877E-3</v>
      </c>
      <c r="I12" s="1224"/>
      <c r="J12" s="1224"/>
      <c r="K12" s="1224"/>
    </row>
    <row r="13" spans="1:11" s="1225" customFormat="1">
      <c r="A13" s="1219" t="s">
        <v>468</v>
      </c>
      <c r="B13" s="1220">
        <v>3591288</v>
      </c>
      <c r="C13" s="1220">
        <v>3347068</v>
      </c>
      <c r="D13" s="1220">
        <v>42908</v>
      </c>
      <c r="E13" s="1221">
        <f t="shared" si="0"/>
        <v>6981264</v>
      </c>
      <c r="F13" s="1222">
        <f t="shared" si="1"/>
        <v>0.51441801943029231</v>
      </c>
      <c r="G13" s="1222">
        <f t="shared" si="2"/>
        <v>0.47943581563453264</v>
      </c>
      <c r="H13" s="1223">
        <f t="shared" si="3"/>
        <v>6.1461649351750632E-3</v>
      </c>
      <c r="I13" s="1224"/>
      <c r="J13" s="1224"/>
      <c r="K13" s="1224"/>
    </row>
    <row r="14" spans="1:11" s="1225" customFormat="1">
      <c r="A14" s="1219" t="s">
        <v>469</v>
      </c>
      <c r="B14" s="1220">
        <v>3902592</v>
      </c>
      <c r="C14" s="1220">
        <v>3546688</v>
      </c>
      <c r="D14" s="1220">
        <v>74716</v>
      </c>
      <c r="E14" s="1221">
        <f t="shared" si="0"/>
        <v>7523996</v>
      </c>
      <c r="F14" s="1222">
        <f t="shared" si="1"/>
        <v>0.51868608117282355</v>
      </c>
      <c r="G14" s="1222">
        <f t="shared" si="2"/>
        <v>0.47138355735436327</v>
      </c>
      <c r="H14" s="1223">
        <f t="shared" si="3"/>
        <v>9.9303614728131172E-3</v>
      </c>
      <c r="I14" s="1224"/>
      <c r="J14" s="1224"/>
      <c r="K14" s="1224"/>
    </row>
    <row r="15" spans="1:11" s="1225" customFormat="1">
      <c r="A15" s="1219" t="s">
        <v>470</v>
      </c>
      <c r="B15" s="1227">
        <v>4153987</v>
      </c>
      <c r="C15" s="1227">
        <v>3620150</v>
      </c>
      <c r="D15" s="1220">
        <v>93895</v>
      </c>
      <c r="E15" s="1221">
        <f t="shared" si="0"/>
        <v>7868032</v>
      </c>
      <c r="F15" s="1222">
        <f t="shared" si="1"/>
        <v>0.52795756295856444</v>
      </c>
      <c r="G15" s="1222">
        <f t="shared" si="2"/>
        <v>0.46010870316745028</v>
      </c>
      <c r="H15" s="1223">
        <f t="shared" si="3"/>
        <v>1.1933733873985261E-2</v>
      </c>
      <c r="I15" s="1224"/>
      <c r="J15" s="1224"/>
      <c r="K15" s="1224"/>
    </row>
    <row r="16" spans="1:11" s="1225" customFormat="1">
      <c r="A16" s="1219" t="s">
        <v>471</v>
      </c>
      <c r="B16" s="1227">
        <v>4228661</v>
      </c>
      <c r="C16" s="1227">
        <v>3726262</v>
      </c>
      <c r="D16" s="1220">
        <v>90657</v>
      </c>
      <c r="E16" s="1221">
        <f t="shared" si="0"/>
        <v>8045580</v>
      </c>
      <c r="F16" s="1222">
        <f t="shared" ref="F16:F22" si="4">B16/E16</f>
        <v>0.52558808687502956</v>
      </c>
      <c r="G16" s="1222">
        <f t="shared" ref="G16:G22" si="5">C16/E16</f>
        <v>0.46314398713330795</v>
      </c>
      <c r="H16" s="1223">
        <f t="shared" ref="H16:H22" si="6">+D16/E16</f>
        <v>1.1267925991662504E-2</v>
      </c>
      <c r="I16" s="1224"/>
      <c r="J16" s="1224"/>
      <c r="K16" s="1224"/>
    </row>
    <row r="17" spans="1:12" s="1225" customFormat="1">
      <c r="A17" s="1219" t="s">
        <v>472</v>
      </c>
      <c r="B17" s="1227">
        <v>4214903</v>
      </c>
      <c r="C17" s="1227">
        <v>5746839</v>
      </c>
      <c r="D17" s="1220">
        <v>95925</v>
      </c>
      <c r="E17" s="1221">
        <f t="shared" si="0"/>
        <v>10057667</v>
      </c>
      <c r="F17" s="1222">
        <f t="shared" si="4"/>
        <v>0.41907362810878507</v>
      </c>
      <c r="G17" s="1222">
        <f t="shared" si="5"/>
        <v>0.57138887179303111</v>
      </c>
      <c r="H17" s="1223">
        <f t="shared" si="6"/>
        <v>9.5375000981838039E-3</v>
      </c>
      <c r="I17" s="1224"/>
      <c r="J17" s="1224"/>
      <c r="K17" s="1224"/>
    </row>
    <row r="18" spans="1:12" s="1225" customFormat="1">
      <c r="A18" s="1219" t="s">
        <v>473</v>
      </c>
      <c r="B18" s="1227">
        <v>4285359</v>
      </c>
      <c r="C18" s="1227">
        <v>5747449</v>
      </c>
      <c r="D18" s="1220">
        <v>97916</v>
      </c>
      <c r="E18" s="1221">
        <f t="shared" si="0"/>
        <v>10130724</v>
      </c>
      <c r="F18" s="1222">
        <f t="shared" si="4"/>
        <v>0.42300619383175381</v>
      </c>
      <c r="G18" s="1222">
        <f t="shared" si="5"/>
        <v>0.56732855420797168</v>
      </c>
      <c r="H18" s="1223">
        <f t="shared" si="6"/>
        <v>9.6652519602745072E-3</v>
      </c>
      <c r="I18" s="1224"/>
      <c r="J18" s="1224"/>
      <c r="K18" s="1224"/>
    </row>
    <row r="19" spans="1:12" s="1225" customFormat="1">
      <c r="A19" s="1226" t="s">
        <v>474</v>
      </c>
      <c r="B19" s="1227">
        <v>4568910</v>
      </c>
      <c r="C19" s="1227">
        <v>5770201</v>
      </c>
      <c r="D19" s="1227">
        <v>104426</v>
      </c>
      <c r="E19" s="1228">
        <v>10443537</v>
      </c>
      <c r="F19" s="1229">
        <f t="shared" si="4"/>
        <v>0.43748683994704091</v>
      </c>
      <c r="G19" s="1229">
        <f t="shared" si="5"/>
        <v>0.5525140572585705</v>
      </c>
      <c r="H19" s="1230">
        <f t="shared" si="6"/>
        <v>9.9991027943885299E-3</v>
      </c>
      <c r="I19" s="1231"/>
      <c r="J19" s="1231"/>
      <c r="K19" s="1231"/>
    </row>
    <row r="20" spans="1:12" s="1225" customFormat="1">
      <c r="A20" s="1226" t="s">
        <v>475</v>
      </c>
      <c r="B20" s="1227">
        <v>4577068</v>
      </c>
      <c r="C20" s="1227">
        <v>5690186</v>
      </c>
      <c r="D20" s="1227">
        <v>111952</v>
      </c>
      <c r="E20" s="1228">
        <v>10379206</v>
      </c>
      <c r="F20" s="1229">
        <f t="shared" si="4"/>
        <v>0.44098440670702554</v>
      </c>
      <c r="G20" s="1229">
        <f t="shared" si="5"/>
        <v>0.54822941176810636</v>
      </c>
      <c r="H20" s="1230">
        <f t="shared" si="6"/>
        <v>1.0786181524868087E-2</v>
      </c>
      <c r="I20" s="1231"/>
      <c r="J20" s="1231"/>
      <c r="K20" s="1231"/>
    </row>
    <row r="21" spans="1:12" s="1225" customFormat="1">
      <c r="A21" s="1226" t="s">
        <v>476</v>
      </c>
      <c r="B21" s="1227">
        <v>4699366</v>
      </c>
      <c r="C21" s="1227">
        <v>5738392</v>
      </c>
      <c r="D21" s="1227">
        <v>115202</v>
      </c>
      <c r="E21" s="1228">
        <v>10552960</v>
      </c>
      <c r="F21" s="1229">
        <f>B21/E21</f>
        <v>0.44531259476014312</v>
      </c>
      <c r="G21" s="1229">
        <f>C21/E21</f>
        <v>0.54377084723148761</v>
      </c>
      <c r="H21" s="1230">
        <f>+D21/E21</f>
        <v>1.0916558008369217E-2</v>
      </c>
      <c r="I21" s="1231"/>
      <c r="J21" s="1231"/>
      <c r="K21" s="1231"/>
    </row>
    <row r="22" spans="1:12" s="1225" customFormat="1">
      <c r="A22" s="1226" t="str">
        <f>+'Resumen '!O6</f>
        <v>Abr.2025</v>
      </c>
      <c r="B22" s="1227">
        <f>+'Resumen '!C30</f>
        <v>4750230</v>
      </c>
      <c r="C22" s="1227">
        <f>+'Resumen '!C39</f>
        <v>5697226</v>
      </c>
      <c r="D22" s="1227">
        <f>+'Resumen '!B33</f>
        <v>116976</v>
      </c>
      <c r="E22" s="1228">
        <f t="shared" si="0"/>
        <v>10564432</v>
      </c>
      <c r="F22" s="1222">
        <f t="shared" si="4"/>
        <v>0.4496436722769383</v>
      </c>
      <c r="G22" s="1222">
        <f t="shared" si="5"/>
        <v>0.53928370214319143</v>
      </c>
      <c r="H22" s="1223">
        <f t="shared" si="6"/>
        <v>1.1072625579870267E-2</v>
      </c>
      <c r="I22" s="1224"/>
      <c r="J22" s="1224"/>
      <c r="K22" s="1224"/>
      <c r="L22" s="1225">
        <f>+Tabla6[[#This Row],[Total ]]-Tabla5[[#This Row],[Afiliación SFS]]</f>
        <v>0</v>
      </c>
    </row>
    <row r="23" spans="1:12" s="35" customFormat="1" ht="16.5" customHeight="1">
      <c r="A23" s="2095" t="s">
        <v>477</v>
      </c>
      <c r="B23" s="2096"/>
      <c r="C23" s="2096"/>
      <c r="D23" s="2096"/>
      <c r="E23" s="2096"/>
      <c r="F23" s="2096"/>
      <c r="G23" s="2096"/>
      <c r="H23" s="2096"/>
      <c r="I23" s="1232"/>
      <c r="J23" s="1232"/>
      <c r="K23" s="1232"/>
    </row>
    <row r="24" spans="1:12" ht="25.5" customHeight="1"/>
    <row r="25" spans="1:12" ht="25.5" customHeight="1">
      <c r="A25" s="11"/>
      <c r="B25" s="11"/>
      <c r="C25" s="11"/>
      <c r="D25" s="11"/>
      <c r="E25" s="11"/>
      <c r="F25" s="11"/>
      <c r="G25" s="11"/>
      <c r="H25" s="95"/>
      <c r="I25" s="95"/>
      <c r="J25" s="95"/>
      <c r="K25" s="95"/>
    </row>
    <row r="26" spans="1:12" ht="25.5" customHeight="1">
      <c r="A26" s="11"/>
      <c r="B26" s="11"/>
      <c r="C26" s="11"/>
      <c r="D26" s="11"/>
      <c r="E26" s="11"/>
      <c r="F26" s="11"/>
      <c r="G26" s="11"/>
      <c r="H26" s="95"/>
      <c r="I26" s="95"/>
      <c r="J26" s="95"/>
      <c r="K26" s="95"/>
    </row>
    <row r="27" spans="1:12" ht="75" customHeight="1">
      <c r="A27" s="11"/>
      <c r="B27" s="11"/>
      <c r="C27" s="11"/>
      <c r="D27" s="11"/>
      <c r="E27" s="11"/>
      <c r="F27" s="11"/>
      <c r="G27" s="11"/>
      <c r="H27" s="95"/>
      <c r="I27" s="95"/>
      <c r="J27" s="95"/>
      <c r="K27" s="95"/>
    </row>
    <row r="28" spans="1:12" ht="25.5" customHeight="1">
      <c r="A28" s="11"/>
      <c r="B28" s="11"/>
      <c r="C28" s="11"/>
      <c r="D28" s="11"/>
      <c r="E28" s="11"/>
      <c r="F28" s="11"/>
      <c r="G28" s="11"/>
      <c r="H28" s="95"/>
      <c r="I28" s="95"/>
      <c r="J28" s="95"/>
      <c r="K28" s="95"/>
    </row>
    <row r="29" spans="1:12" ht="25.5" customHeight="1">
      <c r="A29" s="11"/>
      <c r="B29" s="11"/>
      <c r="C29" s="11"/>
      <c r="D29" s="11"/>
      <c r="E29" s="11"/>
      <c r="F29" s="11"/>
      <c r="G29" s="11"/>
      <c r="H29" s="95"/>
      <c r="I29" s="95"/>
      <c r="J29" s="95"/>
      <c r="K29" s="95"/>
    </row>
    <row r="30" spans="1:12" ht="25.5" customHeight="1">
      <c r="A30" s="11"/>
      <c r="B30" s="11"/>
      <c r="C30" s="11"/>
      <c r="D30" s="11"/>
      <c r="E30" s="11"/>
      <c r="F30" s="11"/>
      <c r="G30" s="11"/>
      <c r="H30" s="95"/>
      <c r="I30" s="95"/>
      <c r="J30" s="95"/>
      <c r="K30" s="95"/>
    </row>
    <row r="31" spans="1:12" ht="48.75" customHeight="1">
      <c r="A31" s="11"/>
      <c r="B31" s="11"/>
      <c r="C31" s="11"/>
      <c r="D31" s="11"/>
      <c r="E31" s="11"/>
      <c r="F31" s="11"/>
      <c r="G31" s="11"/>
      <c r="H31" s="95"/>
      <c r="I31" s="95"/>
      <c r="J31" s="95"/>
      <c r="K31" s="95"/>
    </row>
    <row r="32" spans="1:12" ht="25.5" customHeight="1">
      <c r="A32" s="11"/>
      <c r="B32" s="11"/>
      <c r="C32" s="11"/>
      <c r="D32" s="11"/>
      <c r="E32" s="11"/>
      <c r="F32" s="11"/>
      <c r="G32" s="11"/>
      <c r="H32" s="95"/>
      <c r="I32" s="95"/>
      <c r="J32" s="95"/>
      <c r="K32" s="95"/>
    </row>
    <row r="33" spans="1:12" ht="25.5" customHeight="1">
      <c r="A33" s="11"/>
      <c r="B33" s="11"/>
      <c r="C33" s="11"/>
      <c r="D33" s="11"/>
      <c r="E33" s="11"/>
      <c r="F33" s="11"/>
      <c r="G33" s="11"/>
      <c r="H33" s="95"/>
      <c r="I33" s="95"/>
      <c r="J33" s="95"/>
      <c r="K33" s="95"/>
    </row>
    <row r="34" spans="1:12" ht="25.5" customHeight="1">
      <c r="A34" s="11"/>
      <c r="B34" s="11"/>
      <c r="C34" s="11"/>
      <c r="D34" s="11"/>
      <c r="E34" s="11"/>
      <c r="F34" s="11"/>
      <c r="G34" s="11"/>
      <c r="H34" s="95"/>
      <c r="I34" s="95"/>
      <c r="J34" s="95"/>
      <c r="K34" s="95"/>
    </row>
    <row r="35" spans="1:12" ht="25.5" customHeight="1">
      <c r="A35" s="11"/>
      <c r="B35" s="11"/>
      <c r="C35" s="11"/>
      <c r="D35" s="11"/>
      <c r="E35" s="11"/>
      <c r="F35" s="11"/>
      <c r="G35" s="11"/>
      <c r="H35" s="95"/>
      <c r="I35" s="95"/>
      <c r="J35" s="95"/>
      <c r="K35" s="95"/>
    </row>
    <row r="36" spans="1:12" ht="25.5" customHeight="1">
      <c r="A36" s="11"/>
      <c r="B36" s="11"/>
      <c r="C36" s="11"/>
      <c r="D36" s="11"/>
      <c r="E36" s="11"/>
      <c r="F36" s="11"/>
      <c r="G36" s="11"/>
      <c r="H36" s="95"/>
      <c r="I36" s="95"/>
      <c r="J36" s="95"/>
      <c r="K36" s="95"/>
    </row>
    <row r="37" spans="1:12" ht="25.5" customHeight="1">
      <c r="A37" s="11"/>
      <c r="B37" s="11"/>
      <c r="C37" s="11"/>
      <c r="D37" s="11"/>
      <c r="E37" s="11"/>
      <c r="F37" s="11"/>
      <c r="G37" s="11"/>
      <c r="H37" s="95"/>
      <c r="I37" s="95"/>
      <c r="J37" s="95"/>
      <c r="K37" s="95"/>
    </row>
    <row r="38" spans="1:12" ht="25.5" customHeight="1">
      <c r="A38" s="11"/>
      <c r="B38" s="11"/>
      <c r="C38" s="11"/>
      <c r="D38" s="11"/>
      <c r="E38" s="11"/>
      <c r="F38" s="11"/>
      <c r="G38" s="11"/>
      <c r="H38" s="95"/>
      <c r="I38" s="95"/>
      <c r="J38" s="95"/>
      <c r="K38" s="95"/>
      <c r="L38" t="s">
        <v>1</v>
      </c>
    </row>
    <row r="39" spans="1:12" ht="25.5" customHeight="1">
      <c r="A39" s="11"/>
      <c r="F39" s="11"/>
      <c r="G39" s="11"/>
      <c r="H39" s="95"/>
      <c r="I39" s="95"/>
      <c r="J39" s="95"/>
      <c r="K39" s="95"/>
    </row>
    <row r="40" spans="1:12" ht="25.5" customHeight="1">
      <c r="A40" s="11"/>
      <c r="B40" s="11" t="s">
        <v>478</v>
      </c>
      <c r="C40" s="11"/>
      <c r="D40" s="11"/>
      <c r="E40" s="11"/>
      <c r="F40" s="11"/>
      <c r="G40" s="11"/>
      <c r="H40" s="95"/>
      <c r="I40" s="95"/>
      <c r="J40" s="95"/>
      <c r="K40" s="95"/>
    </row>
    <row r="41" spans="1:12" ht="25.5" customHeight="1">
      <c r="A41" s="11"/>
      <c r="B41" s="11"/>
      <c r="C41" s="11"/>
      <c r="D41" s="11"/>
      <c r="E41" s="11"/>
      <c r="F41" s="11"/>
      <c r="G41" s="11"/>
      <c r="H41" s="95"/>
      <c r="I41" s="95"/>
      <c r="J41" s="95"/>
      <c r="K41" s="95"/>
    </row>
  </sheetData>
  <mergeCells count="3">
    <mergeCell ref="A1:K1"/>
    <mergeCell ref="A2:K2"/>
    <mergeCell ref="A23:H23"/>
  </mergeCells>
  <conditionalFormatting sqref="B15:C22">
    <cfRule type="cellIs" dxfId="694" priority="1"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3">
    <tabColor theme="8" tint="-0.249977111117893"/>
    <pageSetUpPr fitToPage="1"/>
  </sheetPr>
  <dimension ref="A1:U38"/>
  <sheetViews>
    <sheetView showGridLines="0" view="pageBreakPreview" zoomScale="85" zoomScaleNormal="100" zoomScaleSheetLayoutView="85" zoomScalePageLayoutView="62" workbookViewId="0">
      <pane ySplit="2" topLeftCell="A3" activePane="bottomLeft" state="frozen"/>
      <selection pane="bottomLeft" activeCell="W24" sqref="W24"/>
    </sheetView>
  </sheetViews>
  <sheetFormatPr defaultColWidth="11.42578125" defaultRowHeight="15"/>
  <cols>
    <col min="1" max="1" width="18.28515625" customWidth="1"/>
    <col min="2" max="2" width="18.5703125" style="48" customWidth="1"/>
    <col min="3" max="3" width="2.140625" style="48" hidden="1" customWidth="1"/>
    <col min="4" max="4" width="16.7109375" style="48" customWidth="1"/>
    <col min="5" max="5" width="18.85546875" style="48" hidden="1" customWidth="1"/>
    <col min="6" max="6" width="16" style="48" customWidth="1"/>
    <col min="7" max="7" width="19.140625" style="48" hidden="1" customWidth="1"/>
    <col min="8" max="8" width="14.7109375" style="48" customWidth="1"/>
    <col min="9" max="9" width="19.140625" style="48" hidden="1" customWidth="1"/>
    <col min="10" max="10" width="16.42578125" style="48" customWidth="1"/>
    <col min="11" max="11" width="18.7109375" style="48" hidden="1" customWidth="1"/>
    <col min="12" max="12" width="13.5703125" style="48" customWidth="1"/>
    <col min="13" max="13" width="18" style="48" hidden="1" customWidth="1"/>
    <col min="14" max="14" width="16.28515625" style="48" customWidth="1"/>
    <col min="15" max="15" width="15.7109375" customWidth="1"/>
    <col min="16" max="16" width="32" hidden="1" customWidth="1"/>
    <col min="17" max="17" width="17.28515625" customWidth="1"/>
    <col min="18" max="18" width="13.140625" customWidth="1"/>
    <col min="19" max="19" width="13.85546875" customWidth="1"/>
  </cols>
  <sheetData>
    <row r="1" spans="1:19" ht="62.25" customHeight="1">
      <c r="A1" s="2100" t="s">
        <v>479</v>
      </c>
      <c r="B1" s="2101"/>
      <c r="C1" s="2101"/>
      <c r="D1" s="2101"/>
      <c r="E1" s="2101"/>
      <c r="F1" s="2101"/>
      <c r="G1" s="2101"/>
      <c r="H1" s="2101"/>
      <c r="I1" s="2101"/>
      <c r="J1" s="2101"/>
      <c r="K1" s="2101"/>
      <c r="L1" s="2101"/>
      <c r="M1" s="2101"/>
      <c r="N1" s="2101"/>
      <c r="O1" s="2101"/>
      <c r="P1" s="2101"/>
      <c r="Q1" s="2101"/>
      <c r="R1" s="2101"/>
      <c r="S1" s="2102"/>
    </row>
    <row r="2" spans="1:19" ht="32.25" customHeight="1" thickBot="1">
      <c r="A2" s="2097" t="s">
        <v>480</v>
      </c>
      <c r="B2" s="2098"/>
      <c r="C2" s="2098"/>
      <c r="D2" s="2098"/>
      <c r="E2" s="2098"/>
      <c r="F2" s="2098"/>
      <c r="G2" s="2098"/>
      <c r="H2" s="2098"/>
      <c r="I2" s="2098"/>
      <c r="J2" s="2098"/>
      <c r="K2" s="2098"/>
      <c r="L2" s="2098"/>
      <c r="M2" s="2098"/>
      <c r="N2" s="2098"/>
      <c r="O2" s="2098"/>
      <c r="P2" s="2098"/>
      <c r="Q2" s="2098"/>
      <c r="R2" s="2098"/>
      <c r="S2" s="2099"/>
    </row>
    <row r="3" spans="1:19" ht="6" customHeight="1">
      <c r="A3" s="74"/>
      <c r="B3" s="74"/>
      <c r="C3" s="74"/>
      <c r="D3" s="74"/>
      <c r="E3" s="251"/>
      <c r="F3" s="74"/>
      <c r="G3" s="74"/>
      <c r="H3" s="74"/>
      <c r="I3" s="74"/>
      <c r="J3" s="74"/>
      <c r="K3" s="74"/>
      <c r="L3" s="74"/>
      <c r="M3" s="74"/>
      <c r="N3" s="74" t="s">
        <v>481</v>
      </c>
      <c r="O3" s="74"/>
      <c r="P3" s="74"/>
      <c r="Q3" s="886"/>
    </row>
    <row r="4" spans="1:19" s="710" customFormat="1" ht="48" customHeight="1">
      <c r="A4" s="982" t="s">
        <v>231</v>
      </c>
      <c r="B4" s="1003" t="s">
        <v>482</v>
      </c>
      <c r="C4" s="1003" t="s">
        <v>483</v>
      </c>
      <c r="D4" s="1003" t="s">
        <v>484</v>
      </c>
      <c r="E4" s="983" t="s">
        <v>485</v>
      </c>
      <c r="F4" s="1004" t="s">
        <v>486</v>
      </c>
      <c r="G4" s="1004" t="s">
        <v>487</v>
      </c>
      <c r="H4" s="1004" t="s">
        <v>488</v>
      </c>
      <c r="I4" s="983" t="s">
        <v>489</v>
      </c>
      <c r="J4" s="983" t="s">
        <v>490</v>
      </c>
      <c r="K4" s="983" t="s">
        <v>491</v>
      </c>
      <c r="L4" s="983" t="s">
        <v>492</v>
      </c>
      <c r="M4" s="983" t="s">
        <v>493</v>
      </c>
      <c r="N4" s="983" t="s">
        <v>494</v>
      </c>
      <c r="O4" s="983" t="s">
        <v>495</v>
      </c>
      <c r="P4" s="983" t="s">
        <v>496</v>
      </c>
      <c r="Q4" s="984" t="s">
        <v>497</v>
      </c>
      <c r="R4" s="983" t="s">
        <v>253</v>
      </c>
      <c r="S4" s="983" t="s">
        <v>254</v>
      </c>
    </row>
    <row r="5" spans="1:19" s="711" customFormat="1" ht="23.25" hidden="1" customHeight="1">
      <c r="A5" s="985" t="s">
        <v>498</v>
      </c>
      <c r="B5" s="986">
        <v>479821</v>
      </c>
      <c r="C5" s="986"/>
      <c r="D5" s="986">
        <v>602115</v>
      </c>
      <c r="E5" s="986"/>
      <c r="F5" s="986">
        <v>792515</v>
      </c>
      <c r="G5" s="986"/>
      <c r="H5" s="986">
        <v>684666</v>
      </c>
      <c r="I5" s="986"/>
      <c r="J5" s="987">
        <f>+F5+B5</f>
        <v>1272336</v>
      </c>
      <c r="K5" s="987"/>
      <c r="L5" s="987">
        <v>1286781</v>
      </c>
      <c r="M5" s="987"/>
      <c r="N5" s="987">
        <f t="shared" ref="N5:N18" si="0">J5+L5</f>
        <v>2559117</v>
      </c>
      <c r="O5" s="988"/>
      <c r="P5" s="988"/>
      <c r="Q5" s="989"/>
      <c r="R5" s="990"/>
      <c r="S5" s="990"/>
    </row>
    <row r="6" spans="1:19" s="711" customFormat="1" ht="23.25" hidden="1" customHeight="1">
      <c r="A6" s="985" t="s">
        <v>460</v>
      </c>
      <c r="B6" s="986">
        <v>545438</v>
      </c>
      <c r="C6" s="986"/>
      <c r="D6" s="986">
        <v>679205</v>
      </c>
      <c r="E6" s="986"/>
      <c r="F6" s="986">
        <v>890402</v>
      </c>
      <c r="G6" s="986"/>
      <c r="H6" s="986">
        <v>801857</v>
      </c>
      <c r="I6" s="986"/>
      <c r="J6" s="987">
        <f>+F6+B6</f>
        <v>1435840</v>
      </c>
      <c r="K6" s="987"/>
      <c r="L6" s="987">
        <f>+H6+D6</f>
        <v>1481062</v>
      </c>
      <c r="M6" s="987"/>
      <c r="N6" s="987">
        <f t="shared" si="0"/>
        <v>2916902</v>
      </c>
      <c r="O6" s="988"/>
      <c r="P6" s="988"/>
      <c r="Q6" s="989"/>
      <c r="R6" s="990"/>
      <c r="S6" s="990"/>
    </row>
    <row r="7" spans="1:19" s="711" customFormat="1" ht="23.25" hidden="1" customHeight="1">
      <c r="A7" s="985" t="s">
        <v>461</v>
      </c>
      <c r="B7" s="986">
        <v>615631</v>
      </c>
      <c r="C7" s="986"/>
      <c r="D7" s="986">
        <v>788594</v>
      </c>
      <c r="E7" s="986"/>
      <c r="F7" s="986">
        <v>1078877</v>
      </c>
      <c r="G7" s="986"/>
      <c r="H7" s="986">
        <v>1009422</v>
      </c>
      <c r="I7" s="986"/>
      <c r="J7" s="987">
        <f t="shared" ref="J7" si="1">+F7+B7</f>
        <v>1694508</v>
      </c>
      <c r="K7" s="987"/>
      <c r="L7" s="987">
        <f t="shared" ref="L7:L18" si="2">+H7+D7</f>
        <v>1798016</v>
      </c>
      <c r="M7" s="987"/>
      <c r="N7" s="987">
        <f t="shared" si="0"/>
        <v>3492524</v>
      </c>
      <c r="O7" s="988"/>
      <c r="P7" s="988"/>
      <c r="Q7" s="989"/>
      <c r="R7" s="990"/>
      <c r="S7" s="990"/>
    </row>
    <row r="8" spans="1:19" s="710" customFormat="1" ht="15.75" customHeight="1">
      <c r="A8" s="991">
        <v>2010</v>
      </c>
      <c r="B8" s="992">
        <v>904636</v>
      </c>
      <c r="C8" s="992">
        <f>+B8/(D8+B8)</f>
        <v>0.44922151608959443</v>
      </c>
      <c r="D8" s="992">
        <v>1109150</v>
      </c>
      <c r="E8" s="992">
        <f>+D8/(B8+D8)</f>
        <v>0.55077848391040563</v>
      </c>
      <c r="F8" s="992">
        <v>1210182</v>
      </c>
      <c r="G8" s="992">
        <f>+F8/(H8+F8)</f>
        <v>0.51190334687910699</v>
      </c>
      <c r="H8" s="992">
        <v>1153901</v>
      </c>
      <c r="I8" s="992">
        <f>+H8/(F8+H8)</f>
        <v>0.48809665312089295</v>
      </c>
      <c r="J8" s="1001">
        <f t="shared" ref="J8:J22" si="3">+B8+F8</f>
        <v>2114818</v>
      </c>
      <c r="K8" s="993">
        <f>+J8/(L8+J8)</f>
        <v>0.48307018780141664</v>
      </c>
      <c r="L8" s="993">
        <f t="shared" si="2"/>
        <v>2263051</v>
      </c>
      <c r="M8" s="993">
        <f>+L8/(J8+L8)</f>
        <v>0.51692981219858336</v>
      </c>
      <c r="N8" s="993">
        <f t="shared" si="0"/>
        <v>4377869</v>
      </c>
      <c r="O8" s="1832">
        <f>+Tabla52[[#This Row],[SFS-Hombres ]]/Tabla52[[#This Row],[SFS-Mujeres  ]]</f>
        <v>0.93449860387591799</v>
      </c>
      <c r="P8" s="1832">
        <f>H8/F8</f>
        <v>0.95349377201115204</v>
      </c>
      <c r="Q8" s="1833">
        <f>+Tabla52[[#This Row],[SFS-Mujeres  ]]/Tabla52[[#This Row],[SFS-Hombres ]]</f>
        <v>1.0700925564280237</v>
      </c>
      <c r="R8" s="1834">
        <f>+Tabla52[[#This Row],[SFS-Mujeres  ]]/Tabla52[[#This Row],[SFS-Total ]]</f>
        <v>0.51692981219858336</v>
      </c>
      <c r="S8" s="1834">
        <f>+Tabla52[[#This Row],[SFS-Hombres ]]/Tabla52[[#This Row],[SFS-Total ]]</f>
        <v>0.48307018780141664</v>
      </c>
    </row>
    <row r="9" spans="1:19" s="710" customFormat="1" ht="15.75" customHeight="1">
      <c r="A9" s="991">
        <v>2011</v>
      </c>
      <c r="B9" s="992">
        <v>899174</v>
      </c>
      <c r="C9" s="992">
        <f t="shared" ref="C9:C19" si="4">+B9/(D9+B9)</f>
        <v>0.4488179504419178</v>
      </c>
      <c r="D9" s="992">
        <v>1104253</v>
      </c>
      <c r="E9" s="992">
        <f t="shared" ref="E9:E19" si="5">+D9/(B9+D9)</f>
        <v>0.55118204955808225</v>
      </c>
      <c r="F9" s="992">
        <v>1279458</v>
      </c>
      <c r="G9" s="992">
        <f t="shared" ref="G9:G19" si="6">+F9/(H9+F9)</f>
        <v>0.50824116566822497</v>
      </c>
      <c r="H9" s="992">
        <v>1237965</v>
      </c>
      <c r="I9" s="992">
        <f t="shared" ref="I9:I23" si="7">+H9/(F9+H9)</f>
        <v>0.49175883433177497</v>
      </c>
      <c r="J9" s="1001">
        <f t="shared" si="3"/>
        <v>2178632</v>
      </c>
      <c r="K9" s="993">
        <f t="shared" ref="K9:K23" si="8">+J9/(L9+J9)</f>
        <v>0.48190760587057746</v>
      </c>
      <c r="L9" s="993">
        <f t="shared" si="2"/>
        <v>2342218</v>
      </c>
      <c r="M9" s="993">
        <f t="shared" ref="M9:M23" si="9">+L9/(J9+L9)</f>
        <v>0.51809239412942254</v>
      </c>
      <c r="N9" s="993">
        <f t="shared" si="0"/>
        <v>4520850</v>
      </c>
      <c r="O9" s="1832">
        <f>+Tabla52[[#This Row],[SFS-Hombres ]]/Tabla52[[#This Row],[SFS-Mujeres  ]]</f>
        <v>0.93015765398438577</v>
      </c>
      <c r="P9" s="1832">
        <f>H9/F9</f>
        <v>0.96756986161327685</v>
      </c>
      <c r="Q9" s="1833">
        <f>+Tabla52[[#This Row],[SFS-Mujeres  ]]/Tabla52[[#This Row],[SFS-Hombres ]]</f>
        <v>1.0750865680849266</v>
      </c>
      <c r="R9" s="1834">
        <f>+Tabla52[[#This Row],[SFS-Mujeres  ]]/Tabla52[[#This Row],[SFS-Total ]]</f>
        <v>0.51809239412942254</v>
      </c>
      <c r="S9" s="1834">
        <f>+Tabla52[[#This Row],[SFS-Hombres ]]/Tabla52[[#This Row],[SFS-Total ]]</f>
        <v>0.48190760587057746</v>
      </c>
    </row>
    <row r="10" spans="1:19" s="710" customFormat="1" ht="15.75" customHeight="1">
      <c r="A10" s="991">
        <v>2012</v>
      </c>
      <c r="B10" s="992">
        <v>1031326</v>
      </c>
      <c r="C10" s="992">
        <f t="shared" si="4"/>
        <v>0.44775025604000435</v>
      </c>
      <c r="D10" s="992">
        <v>1272025</v>
      </c>
      <c r="E10" s="992">
        <f t="shared" si="5"/>
        <v>0.55224974395999571</v>
      </c>
      <c r="F10" s="992">
        <v>1360788</v>
      </c>
      <c r="G10" s="992">
        <f t="shared" si="6"/>
        <v>0.50616814170154789</v>
      </c>
      <c r="H10" s="992">
        <v>1327623</v>
      </c>
      <c r="I10" s="992">
        <f t="shared" si="7"/>
        <v>0.49383185829845211</v>
      </c>
      <c r="J10" s="1001">
        <f t="shared" si="3"/>
        <v>2392114</v>
      </c>
      <c r="K10" s="993">
        <f t="shared" si="8"/>
        <v>0.47921235026830206</v>
      </c>
      <c r="L10" s="993">
        <f t="shared" si="2"/>
        <v>2599648</v>
      </c>
      <c r="M10" s="993">
        <f t="shared" si="9"/>
        <v>0.520787649731698</v>
      </c>
      <c r="N10" s="993">
        <f t="shared" si="0"/>
        <v>4991762</v>
      </c>
      <c r="O10" s="1832">
        <f>+Tabla52[[#This Row],[SFS-Hombres ]]/Tabla52[[#This Row],[SFS-Mujeres  ]]</f>
        <v>0.92016842280185629</v>
      </c>
      <c r="P10" s="1832">
        <f t="shared" ref="P10:P23" si="10">H10/F10</f>
        <v>0.97562809195848288</v>
      </c>
      <c r="Q10" s="1833">
        <f>+Tabla52[[#This Row],[SFS-Mujeres  ]]/Tabla52[[#This Row],[SFS-Hombres ]]</f>
        <v>1.0867575709184429</v>
      </c>
      <c r="R10" s="1834">
        <f>+Tabla52[[#This Row],[SFS-Mujeres  ]]/Tabla52[[#This Row],[SFS-Total ]]</f>
        <v>0.520787649731698</v>
      </c>
      <c r="S10" s="1834">
        <f>+Tabla52[[#This Row],[SFS-Hombres ]]/Tabla52[[#This Row],[SFS-Total ]]</f>
        <v>0.47921235026830206</v>
      </c>
    </row>
    <row r="11" spans="1:19" s="710" customFormat="1" ht="15.75" customHeight="1">
      <c r="A11" s="991">
        <v>2013</v>
      </c>
      <c r="B11" s="992">
        <v>1243431</v>
      </c>
      <c r="C11" s="992">
        <f t="shared" si="4"/>
        <v>0.45186868152773885</v>
      </c>
      <c r="D11" s="992">
        <v>1508322</v>
      </c>
      <c r="E11" s="992">
        <f t="shared" si="5"/>
        <v>0.54813131847226115</v>
      </c>
      <c r="F11" s="992">
        <v>1462398</v>
      </c>
      <c r="G11" s="992">
        <f t="shared" si="6"/>
        <v>0.50410551483362842</v>
      </c>
      <c r="H11" s="992">
        <v>1438578</v>
      </c>
      <c r="I11" s="992">
        <f t="shared" si="7"/>
        <v>0.49589448516637158</v>
      </c>
      <c r="J11" s="1001">
        <f t="shared" si="3"/>
        <v>2705829</v>
      </c>
      <c r="K11" s="993">
        <f t="shared" si="8"/>
        <v>0.47867658258515489</v>
      </c>
      <c r="L11" s="993">
        <f t="shared" si="2"/>
        <v>2946900</v>
      </c>
      <c r="M11" s="993">
        <f t="shared" si="9"/>
        <v>0.52132341741484511</v>
      </c>
      <c r="N11" s="993">
        <f t="shared" si="0"/>
        <v>5652729</v>
      </c>
      <c r="O11" s="1832">
        <f>+Tabla52[[#This Row],[SFS-Hombres ]]/Tabla52[[#This Row],[SFS-Mujeres  ]]</f>
        <v>0.91819505242797517</v>
      </c>
      <c r="P11" s="1832">
        <f t="shared" si="10"/>
        <v>0.98371168450722712</v>
      </c>
      <c r="Q11" s="1833">
        <f>+Tabla52[[#This Row],[SFS-Mujeres  ]]/Tabla52[[#This Row],[SFS-Hombres ]]</f>
        <v>1.0890932132074864</v>
      </c>
      <c r="R11" s="1834">
        <f>+Tabla52[[#This Row],[SFS-Mujeres  ]]/Tabla52[[#This Row],[SFS-Total ]]</f>
        <v>0.52132341741484511</v>
      </c>
      <c r="S11" s="1834">
        <f>+Tabla52[[#This Row],[SFS-Hombres ]]/Tabla52[[#This Row],[SFS-Total ]]</f>
        <v>0.47867658258515489</v>
      </c>
    </row>
    <row r="12" spans="1:19" s="710" customFormat="1" ht="15.75" customHeight="1">
      <c r="A12" s="991">
        <v>2014</v>
      </c>
      <c r="B12" s="992">
        <v>1400518</v>
      </c>
      <c r="C12" s="992">
        <f t="shared" si="4"/>
        <v>0.46441724260738826</v>
      </c>
      <c r="D12" s="992">
        <v>1615128</v>
      </c>
      <c r="E12" s="992">
        <f t="shared" si="5"/>
        <v>0.53558275739261174</v>
      </c>
      <c r="F12" s="992">
        <v>1578325</v>
      </c>
      <c r="G12" s="992">
        <f t="shared" si="6"/>
        <v>0.50239543620939531</v>
      </c>
      <c r="H12" s="992">
        <v>1563274</v>
      </c>
      <c r="I12" s="992">
        <f t="shared" si="7"/>
        <v>0.49760456379060475</v>
      </c>
      <c r="J12" s="1001">
        <f t="shared" si="3"/>
        <v>2978843</v>
      </c>
      <c r="K12" s="993">
        <f t="shared" si="8"/>
        <v>0.48379478159469047</v>
      </c>
      <c r="L12" s="993">
        <f t="shared" si="2"/>
        <v>3178402</v>
      </c>
      <c r="M12" s="993">
        <f t="shared" si="9"/>
        <v>0.51620521840530953</v>
      </c>
      <c r="N12" s="993">
        <f t="shared" si="0"/>
        <v>6157245</v>
      </c>
      <c r="O12" s="1832">
        <f>+Tabla52[[#This Row],[SFS-Hombres ]]/Tabla52[[#This Row],[SFS-Mujeres  ]]</f>
        <v>0.93721404655547036</v>
      </c>
      <c r="P12" s="1832">
        <f t="shared" si="10"/>
        <v>0.99046394120349102</v>
      </c>
      <c r="Q12" s="1833">
        <f>+Tabla52[[#This Row],[SFS-Mujeres  ]]/Tabla52[[#This Row],[SFS-Hombres ]]</f>
        <v>1.0669921174093431</v>
      </c>
      <c r="R12" s="1834">
        <f>+Tabla52[[#This Row],[SFS-Mujeres  ]]/Tabla52[[#This Row],[SFS-Total ]]</f>
        <v>0.51620521840530953</v>
      </c>
      <c r="S12" s="1834">
        <f>+Tabla52[[#This Row],[SFS-Hombres ]]/Tabla52[[#This Row],[SFS-Total ]]</f>
        <v>0.48379478159469047</v>
      </c>
    </row>
    <row r="13" spans="1:19" s="710" customFormat="1" ht="15.75" customHeight="1">
      <c r="A13" s="991">
        <v>2015</v>
      </c>
      <c r="B13" s="992">
        <v>1572793</v>
      </c>
      <c r="C13" s="992">
        <f t="shared" si="4"/>
        <v>0.47410340311176957</v>
      </c>
      <c r="D13" s="992">
        <v>1744612</v>
      </c>
      <c r="E13" s="992">
        <f t="shared" si="5"/>
        <v>0.52589659688823043</v>
      </c>
      <c r="F13" s="992">
        <v>1674811</v>
      </c>
      <c r="G13" s="992">
        <f t="shared" si="6"/>
        <v>0.50146474170304067</v>
      </c>
      <c r="H13" s="992">
        <v>1665027</v>
      </c>
      <c r="I13" s="992">
        <f t="shared" si="7"/>
        <v>0.49853525829695933</v>
      </c>
      <c r="J13" s="1001">
        <f t="shared" si="3"/>
        <v>3247604</v>
      </c>
      <c r="K13" s="993">
        <f t="shared" si="8"/>
        <v>0.48783017234011139</v>
      </c>
      <c r="L13" s="993">
        <f t="shared" si="2"/>
        <v>3409639</v>
      </c>
      <c r="M13" s="993">
        <f t="shared" si="9"/>
        <v>0.51216982765988861</v>
      </c>
      <c r="N13" s="993">
        <f t="shared" si="0"/>
        <v>6657243</v>
      </c>
      <c r="O13" s="1832">
        <f>+Tabla52[[#This Row],[SFS-Hombres ]]/Tabla52[[#This Row],[SFS-Mujeres  ]]</f>
        <v>0.95247737370437169</v>
      </c>
      <c r="P13" s="1832">
        <f t="shared" si="10"/>
        <v>0.99415814679984782</v>
      </c>
      <c r="Q13" s="1833">
        <f>+Tabla52[[#This Row],[SFS-Mujeres  ]]/Tabla52[[#This Row],[SFS-Hombres ]]</f>
        <v>1.0498937062523632</v>
      </c>
      <c r="R13" s="1834">
        <f>+Tabla52[[#This Row],[SFS-Mujeres  ]]/Tabla52[[#This Row],[SFS-Total ]]</f>
        <v>0.51216982765988861</v>
      </c>
      <c r="S13" s="1834">
        <f>+Tabla52[[#This Row],[SFS-Hombres ]]/Tabla52[[#This Row],[SFS-Total ]]</f>
        <v>0.48783017234011139</v>
      </c>
    </row>
    <row r="14" spans="1:19" s="710" customFormat="1" ht="15.75" customHeight="1">
      <c r="A14" s="991">
        <v>2016</v>
      </c>
      <c r="B14" s="992">
        <v>1575598</v>
      </c>
      <c r="C14" s="992">
        <f t="shared" si="4"/>
        <v>0.47073976387692151</v>
      </c>
      <c r="D14" s="992">
        <v>1771470</v>
      </c>
      <c r="E14" s="992">
        <f t="shared" si="5"/>
        <v>0.52926023612307849</v>
      </c>
      <c r="F14" s="992">
        <v>1809250</v>
      </c>
      <c r="G14" s="992">
        <f t="shared" si="6"/>
        <v>0.50378861288763255</v>
      </c>
      <c r="H14" s="992">
        <v>1782038</v>
      </c>
      <c r="I14" s="992">
        <f t="shared" si="7"/>
        <v>0.49621138711236751</v>
      </c>
      <c r="J14" s="1001">
        <f t="shared" si="3"/>
        <v>3384848</v>
      </c>
      <c r="K14" s="993">
        <f t="shared" si="8"/>
        <v>0.48784582399634724</v>
      </c>
      <c r="L14" s="993">
        <f t="shared" si="2"/>
        <v>3553508</v>
      </c>
      <c r="M14" s="993">
        <f t="shared" si="9"/>
        <v>0.51215417600365276</v>
      </c>
      <c r="N14" s="993">
        <f t="shared" si="0"/>
        <v>6938356</v>
      </c>
      <c r="O14" s="1832">
        <f>+Tabla52[[#This Row],[SFS-Hombres ]]/Tabla52[[#This Row],[SFS-Mujeres  ]]</f>
        <v>0.95253704226921676</v>
      </c>
      <c r="P14" s="1832">
        <f t="shared" si="10"/>
        <v>0.98495951361061218</v>
      </c>
      <c r="Q14" s="1833">
        <f>+Tabla52[[#This Row],[SFS-Mujeres  ]]/Tabla52[[#This Row],[SFS-Hombres ]]</f>
        <v>1.0498279390980039</v>
      </c>
      <c r="R14" s="1834">
        <f>+Tabla52[[#This Row],[SFS-Mujeres  ]]/Tabla52[[#This Row],[SFS-Total ]]</f>
        <v>0.51215417600365276</v>
      </c>
      <c r="S14" s="1834">
        <f>+Tabla52[[#This Row],[SFS-Hombres ]]/Tabla52[[#This Row],[SFS-Total ]]</f>
        <v>0.48784582399634724</v>
      </c>
    </row>
    <row r="15" spans="1:19" s="710" customFormat="1" ht="15.75" customHeight="1">
      <c r="A15" s="991">
        <v>2017</v>
      </c>
      <c r="B15" s="992">
        <v>1677875</v>
      </c>
      <c r="C15" s="992">
        <f t="shared" si="4"/>
        <v>0.47308221078369456</v>
      </c>
      <c r="D15" s="992">
        <v>1868813</v>
      </c>
      <c r="E15" s="992">
        <f t="shared" si="5"/>
        <v>0.5269177892163055</v>
      </c>
      <c r="F15" s="994">
        <v>1977166</v>
      </c>
      <c r="G15" s="994">
        <f t="shared" si="6"/>
        <v>0.50662892764603629</v>
      </c>
      <c r="H15" s="994">
        <v>1925426</v>
      </c>
      <c r="I15" s="994">
        <f t="shared" si="7"/>
        <v>0.49337107235396371</v>
      </c>
      <c r="J15" s="1001">
        <f t="shared" si="3"/>
        <v>3655041</v>
      </c>
      <c r="K15" s="995">
        <f t="shared" si="8"/>
        <v>0.49065694939645171</v>
      </c>
      <c r="L15" s="995">
        <f t="shared" si="2"/>
        <v>3794239</v>
      </c>
      <c r="M15" s="995">
        <f t="shared" si="9"/>
        <v>0.50934305060354823</v>
      </c>
      <c r="N15" s="995">
        <f t="shared" si="0"/>
        <v>7449280</v>
      </c>
      <c r="O15" s="1832">
        <f>+Tabla52[[#This Row],[SFS-Hombres ]]/Tabla52[[#This Row],[SFS-Mujeres  ]]</f>
        <v>0.96331332844346385</v>
      </c>
      <c r="P15" s="1835">
        <f t="shared" si="10"/>
        <v>0.97383123116622483</v>
      </c>
      <c r="Q15" s="1833">
        <f>+Tabla52[[#This Row],[SFS-Mujeres  ]]/Tabla52[[#This Row],[SFS-Hombres ]]</f>
        <v>1.0380838409199786</v>
      </c>
      <c r="R15" s="1834">
        <f>+Tabla52[[#This Row],[SFS-Mujeres  ]]/Tabla52[[#This Row],[SFS-Total ]]</f>
        <v>0.50934305060354823</v>
      </c>
      <c r="S15" s="1834">
        <f>+Tabla52[[#This Row],[SFS-Hombres ]]/Tabla52[[#This Row],[SFS-Total ]]</f>
        <v>0.49065694939645171</v>
      </c>
    </row>
    <row r="16" spans="1:19" s="710" customFormat="1" ht="15.75" customHeight="1">
      <c r="A16" s="991">
        <v>2018</v>
      </c>
      <c r="B16" s="992">
        <v>1712181</v>
      </c>
      <c r="C16" s="992">
        <f t="shared" si="4"/>
        <v>0.47295857906440342</v>
      </c>
      <c r="D16" s="992">
        <v>1907969</v>
      </c>
      <c r="E16" s="992">
        <f t="shared" si="5"/>
        <v>0.52704142093559658</v>
      </c>
      <c r="F16" s="994">
        <v>2096180</v>
      </c>
      <c r="G16" s="994">
        <f t="shared" si="6"/>
        <v>0.50461881561015964</v>
      </c>
      <c r="H16" s="994">
        <v>2057807</v>
      </c>
      <c r="I16" s="994">
        <f t="shared" si="7"/>
        <v>0.49538118438984041</v>
      </c>
      <c r="J16" s="1001">
        <f t="shared" si="3"/>
        <v>3808361</v>
      </c>
      <c r="K16" s="995">
        <f t="shared" si="8"/>
        <v>0.48987572511263949</v>
      </c>
      <c r="L16" s="995">
        <f t="shared" si="2"/>
        <v>3965776</v>
      </c>
      <c r="M16" s="995">
        <f t="shared" si="9"/>
        <v>0.51012427488736045</v>
      </c>
      <c r="N16" s="995">
        <f t="shared" si="0"/>
        <v>7774137</v>
      </c>
      <c r="O16" s="1832">
        <f>+Tabla52[[#This Row],[SFS-Hombres ]]/Tabla52[[#This Row],[SFS-Mujeres  ]]</f>
        <v>0.9603066335567112</v>
      </c>
      <c r="P16" s="1835">
        <f t="shared" si="10"/>
        <v>0.9816938430859945</v>
      </c>
      <c r="Q16" s="1833">
        <f>+Tabla52[[#This Row],[SFS-Mujeres  ]]/Tabla52[[#This Row],[SFS-Hombres ]]</f>
        <v>1.04133405420337</v>
      </c>
      <c r="R16" s="1834">
        <f>+Tabla52[[#This Row],[SFS-Mujeres  ]]/Tabla52[[#This Row],[SFS-Total ]]</f>
        <v>0.51012427488736045</v>
      </c>
      <c r="S16" s="1834">
        <f>+Tabla52[[#This Row],[SFS-Hombres ]]/Tabla52[[#This Row],[SFS-Total ]]</f>
        <v>0.48987572511263949</v>
      </c>
    </row>
    <row r="17" spans="1:21" s="710" customFormat="1" ht="15.75" customHeight="1">
      <c r="A17" s="991">
        <v>2019</v>
      </c>
      <c r="B17" s="992">
        <v>1758351</v>
      </c>
      <c r="C17" s="992">
        <f t="shared" si="4"/>
        <v>0.47188066754296931</v>
      </c>
      <c r="D17" s="992">
        <v>1967911</v>
      </c>
      <c r="E17" s="992">
        <f t="shared" si="5"/>
        <v>0.52811933245703069</v>
      </c>
      <c r="F17" s="994">
        <v>2126390</v>
      </c>
      <c r="G17" s="994">
        <f t="shared" si="6"/>
        <v>0.50285184837469832</v>
      </c>
      <c r="H17" s="994">
        <v>2102271</v>
      </c>
      <c r="I17" s="994">
        <f t="shared" si="7"/>
        <v>0.49714815162530174</v>
      </c>
      <c r="J17" s="1001">
        <f t="shared" si="3"/>
        <v>3884741</v>
      </c>
      <c r="K17" s="995">
        <f t="shared" si="8"/>
        <v>0.48834426178606632</v>
      </c>
      <c r="L17" s="995">
        <f t="shared" si="2"/>
        <v>4070182</v>
      </c>
      <c r="M17" s="995">
        <f t="shared" si="9"/>
        <v>0.51165573821393373</v>
      </c>
      <c r="N17" s="995">
        <f t="shared" si="0"/>
        <v>7954923</v>
      </c>
      <c r="O17" s="1832">
        <f>+Tabla52[[#This Row],[SFS-Hombres ]]/Tabla52[[#This Row],[SFS-Mujeres  ]]</f>
        <v>0.95443913810242387</v>
      </c>
      <c r="P17" s="1835">
        <f t="shared" si="10"/>
        <v>0.98865730181199118</v>
      </c>
      <c r="Q17" s="1833">
        <f>+Tabla52[[#This Row],[SFS-Mujeres  ]]/Tabla52[[#This Row],[SFS-Hombres ]]</f>
        <v>1.0477357435154622</v>
      </c>
      <c r="R17" s="1834">
        <f>+Tabla52[[#This Row],[SFS-Mujeres  ]]/Tabla52[[#This Row],[SFS-Total ]]</f>
        <v>0.51165573821393373</v>
      </c>
      <c r="S17" s="1834">
        <f>+Tabla52[[#This Row],[SFS-Hombres ]]/Tabla52[[#This Row],[SFS-Total ]]</f>
        <v>0.48834426178606632</v>
      </c>
    </row>
    <row r="18" spans="1:21" s="710" customFormat="1" ht="15.75" customHeight="1">
      <c r="A18" s="991">
        <v>2020</v>
      </c>
      <c r="B18" s="992">
        <v>2853424</v>
      </c>
      <c r="C18" s="992">
        <f t="shared" si="4"/>
        <v>0.49652060898173761</v>
      </c>
      <c r="D18" s="992">
        <v>2893415</v>
      </c>
      <c r="E18" s="992">
        <f t="shared" si="5"/>
        <v>0.50347939101826233</v>
      </c>
      <c r="F18" s="994">
        <v>2107686</v>
      </c>
      <c r="G18" s="994">
        <f t="shared" si="6"/>
        <v>0.50005563591854907</v>
      </c>
      <c r="H18" s="994">
        <v>2107217</v>
      </c>
      <c r="I18" s="994">
        <f t="shared" si="7"/>
        <v>0.49994436408145099</v>
      </c>
      <c r="J18" s="1001">
        <f t="shared" si="3"/>
        <v>4961110</v>
      </c>
      <c r="K18" s="995">
        <f t="shared" si="8"/>
        <v>0.49801631080186576</v>
      </c>
      <c r="L18" s="995">
        <f t="shared" si="2"/>
        <v>5000632</v>
      </c>
      <c r="M18" s="995">
        <f t="shared" si="9"/>
        <v>0.50198368919813419</v>
      </c>
      <c r="N18" s="995">
        <f t="shared" si="0"/>
        <v>9961742</v>
      </c>
      <c r="O18" s="1832">
        <f>+Tabla52[[#This Row],[SFS-Hombres ]]/Tabla52[[#This Row],[SFS-Mujeres  ]]</f>
        <v>0.99209659898988767</v>
      </c>
      <c r="P18" s="1835">
        <f t="shared" si="10"/>
        <v>0.99977748108589226</v>
      </c>
      <c r="Q18" s="1833">
        <f>+Tabla52[[#This Row],[SFS-Mujeres  ]]/Tabla52[[#This Row],[SFS-Hombres ]]</f>
        <v>1.0079663623664865</v>
      </c>
      <c r="R18" s="1834">
        <f>+Tabla52[[#This Row],[SFS-Mujeres  ]]/Tabla52[[#This Row],[SFS-Total ]]</f>
        <v>0.50198368919813419</v>
      </c>
      <c r="S18" s="1834">
        <f>+Tabla52[[#This Row],[SFS-Hombres ]]/Tabla52[[#This Row],[SFS-Total ]]</f>
        <v>0.49801631080186576</v>
      </c>
    </row>
    <row r="19" spans="1:21" s="710" customFormat="1" ht="15.75" customHeight="1">
      <c r="A19" s="991">
        <v>2021</v>
      </c>
      <c r="B19" s="992">
        <v>2856987</v>
      </c>
      <c r="C19" s="992">
        <f t="shared" si="4"/>
        <v>0.49708783844797927</v>
      </c>
      <c r="D19" s="992">
        <v>2890462</v>
      </c>
      <c r="E19" s="992">
        <f t="shared" si="5"/>
        <v>0.50291216155202079</v>
      </c>
      <c r="F19" s="994">
        <v>2140921</v>
      </c>
      <c r="G19" s="994">
        <f t="shared" si="6"/>
        <v>0.49958964931526156</v>
      </c>
      <c r="H19" s="994">
        <v>2144438</v>
      </c>
      <c r="I19" s="994">
        <f t="shared" si="7"/>
        <v>0.50041035068473838</v>
      </c>
      <c r="J19" s="1001">
        <f t="shared" si="3"/>
        <v>4997908</v>
      </c>
      <c r="K19" s="995">
        <f t="shared" si="8"/>
        <v>0.49815644832433753</v>
      </c>
      <c r="L19" s="995">
        <f>+H19+D19</f>
        <v>5034900</v>
      </c>
      <c r="M19" s="995">
        <f t="shared" si="9"/>
        <v>0.50184355167566252</v>
      </c>
      <c r="N19" s="995">
        <f>J19+L19</f>
        <v>10032808</v>
      </c>
      <c r="O19" s="1832">
        <f>+Tabla52[[#This Row],[SFS-Hombres ]]/Tabla52[[#This Row],[SFS-Mujeres  ]]</f>
        <v>0.99265288287751496</v>
      </c>
      <c r="P19" s="1835">
        <f t="shared" si="10"/>
        <v>1.0016427509469055</v>
      </c>
      <c r="Q19" s="1833">
        <f>+Tabla52[[#This Row],[SFS-Mujeres  ]]/Tabla52[[#This Row],[SFS-Hombres ]]</f>
        <v>1.0074014967862555</v>
      </c>
      <c r="R19" s="1834">
        <f>+Tabla52[[#This Row],[SFS-Mujeres  ]]/Tabla52[[#This Row],[SFS-Total ]]</f>
        <v>0.50184355167566252</v>
      </c>
      <c r="S19" s="1834">
        <f>+Tabla52[[#This Row],[SFS-Hombres ]]/Tabla52[[#This Row],[SFS-Total ]]</f>
        <v>0.49815644832433753</v>
      </c>
      <c r="U19" s="710" t="s">
        <v>238</v>
      </c>
    </row>
    <row r="20" spans="1:21" s="710" customFormat="1" ht="15.75" customHeight="1">
      <c r="A20" s="996">
        <v>2022</v>
      </c>
      <c r="B20" s="997">
        <v>2873492</v>
      </c>
      <c r="C20" s="997">
        <v>0.49798819833139263</v>
      </c>
      <c r="D20" s="997">
        <v>2896709</v>
      </c>
      <c r="E20" s="997">
        <v>0.50201180166860737</v>
      </c>
      <c r="F20" s="998">
        <v>2278367</v>
      </c>
      <c r="G20" s="998">
        <v>0.49866751588453262</v>
      </c>
      <c r="H20" s="998">
        <v>2290543</v>
      </c>
      <c r="I20" s="998">
        <v>0.50133248411546738</v>
      </c>
      <c r="J20" s="1001">
        <f t="shared" si="3"/>
        <v>5151859</v>
      </c>
      <c r="K20" s="999">
        <v>0.4982883924933198</v>
      </c>
      <c r="L20" s="995">
        <f>+H20+D20</f>
        <v>5187252</v>
      </c>
      <c r="M20" s="999">
        <v>0.5017116075066802</v>
      </c>
      <c r="N20" s="995">
        <f>J20+L20</f>
        <v>10339111</v>
      </c>
      <c r="O20" s="1832">
        <f>+Tabla52[[#This Row],[SFS-Hombres ]]/Tabla52[[#This Row],[SFS-Mujeres  ]]</f>
        <v>0.99317692681982672</v>
      </c>
      <c r="P20" s="1836">
        <v>1.0053441785278667</v>
      </c>
      <c r="Q20" s="1833">
        <f>+Tabla52[[#This Row],[SFS-Mujeres  ]]/Tabla52[[#This Row],[SFS-Hombres ]]</f>
        <v>1.006869947333574</v>
      </c>
      <c r="R20" s="1834">
        <f>+Tabla52[[#This Row],[SFS-Mujeres  ]]/Tabla52[[#This Row],[SFS-Total ]]</f>
        <v>0.5017116075066802</v>
      </c>
      <c r="S20" s="1834">
        <f>+Tabla52[[#This Row],[SFS-Hombres ]]/Tabla52[[#This Row],[SFS-Total ]]</f>
        <v>0.4982883924933198</v>
      </c>
    </row>
    <row r="21" spans="1:21" s="710" customFormat="1" ht="15.75" customHeight="1">
      <c r="A21" s="996">
        <v>2023</v>
      </c>
      <c r="B21" s="1243">
        <v>2824789</v>
      </c>
      <c r="C21" s="1243">
        <v>0.49818060334167813</v>
      </c>
      <c r="D21" s="1243">
        <v>2865397</v>
      </c>
      <c r="E21" s="1243">
        <v>0.50181939665832187</v>
      </c>
      <c r="F21" s="1244">
        <v>2284920</v>
      </c>
      <c r="G21" s="1244">
        <v>0.49804467742540059</v>
      </c>
      <c r="H21" s="1244">
        <v>2292148</v>
      </c>
      <c r="I21" s="1244">
        <v>0.50078958844395582</v>
      </c>
      <c r="J21" s="1001">
        <f t="shared" si="3"/>
        <v>5109709</v>
      </c>
      <c r="K21" s="1245">
        <v>0.49767045794328257</v>
      </c>
      <c r="L21" s="995">
        <v>5157545</v>
      </c>
      <c r="M21" s="1245">
        <v>0.50232954205671743</v>
      </c>
      <c r="N21" s="995">
        <v>10267254</v>
      </c>
      <c r="O21" s="1832">
        <f>+Tabla52[[#This Row],[SFS-Hombres ]]/Tabla52[[#This Row],[SFS-Mujeres  ]]</f>
        <v>0.99072504457062416</v>
      </c>
      <c r="P21" s="1837">
        <f>H21/F21</f>
        <v>1.0031633492638692</v>
      </c>
      <c r="Q21" s="1833">
        <f>+Tabla52[[#This Row],[SFS-Mujeres  ]]/Tabla52[[#This Row],[SFS-Hombres ]]</f>
        <v>1.0093617855733077</v>
      </c>
      <c r="R21" s="1834">
        <f>+Tabla52[[#This Row],[SFS-Mujeres  ]]/Tabla52[[#This Row],[SFS-Total ]]</f>
        <v>0.50232954205671743</v>
      </c>
      <c r="S21" s="1834">
        <f>+Tabla52[[#This Row],[SFS-Hombres ]]/Tabla52[[#This Row],[SFS-Total ]]</f>
        <v>0.49767045794328257</v>
      </c>
    </row>
    <row r="22" spans="1:21" s="710" customFormat="1" ht="15.75" customHeight="1">
      <c r="A22" s="996">
        <v>2024</v>
      </c>
      <c r="B22" s="1243">
        <v>2854248</v>
      </c>
      <c r="C22" s="1243"/>
      <c r="D22" s="1243">
        <v>2884144</v>
      </c>
      <c r="E22" s="1243"/>
      <c r="F22" s="1000">
        <v>2338456</v>
      </c>
      <c r="G22" s="1000"/>
      <c r="H22" s="1000">
        <v>2360910</v>
      </c>
      <c r="I22" s="1244">
        <f>+H22/(F22+H22)</f>
        <v>0.50238904567126719</v>
      </c>
      <c r="J22" s="1001">
        <f t="shared" si="3"/>
        <v>5192704</v>
      </c>
      <c r="K22" s="1245">
        <f>+J22/(L22+J22)</f>
        <v>0.49749227755615716</v>
      </c>
      <c r="L22" s="995">
        <f>+H22+D22</f>
        <v>5245054</v>
      </c>
      <c r="M22" s="1245">
        <f>+L22/(J22+L22)</f>
        <v>0.50250772244384279</v>
      </c>
      <c r="N22" s="995">
        <f>J22+L22</f>
        <v>10437758</v>
      </c>
      <c r="O22" s="1832">
        <f>+Tabla52[[#This Row],[SFS-Hombres ]]/Tabla52[[#This Row],[SFS-Mujeres  ]]</f>
        <v>0.99001916853477578</v>
      </c>
      <c r="P22" s="1837">
        <f>H22/F22</f>
        <v>1.0096020622154105</v>
      </c>
      <c r="Q22" s="1833">
        <f>+Tabla52[[#This Row],[SFS-Mujeres  ]]/Tabla52[[#This Row],[SFS-Hombres ]]</f>
        <v>1.0100814527460067</v>
      </c>
      <c r="R22" s="1834">
        <f>+Tabla52[[#This Row],[SFS-Mujeres  ]]/Tabla52[[#This Row],[SFS-Total ]]</f>
        <v>0.50250772244384279</v>
      </c>
      <c r="S22" s="1834">
        <f>+Tabla52[[#This Row],[SFS-Hombres ]]/Tabla52[[#This Row],[SFS-Total ]]</f>
        <v>0.49749227755615716</v>
      </c>
      <c r="T22" s="710">
        <f>+Tabla6[[#This Row],[Pensionados]]</f>
        <v>116976</v>
      </c>
    </row>
    <row r="23" spans="1:21" s="710" customFormat="1" ht="15.75" customHeight="1">
      <c r="A23" s="1226" t="str">
        <f>+'Resumen '!O6</f>
        <v>Abr.2025</v>
      </c>
      <c r="B23" s="1000">
        <f>+'Resumen '!D39</f>
        <v>2833532</v>
      </c>
      <c r="C23" s="1000"/>
      <c r="D23" s="1000">
        <f>+'Resumen '!E39</f>
        <v>2863694</v>
      </c>
      <c r="E23" s="1000"/>
      <c r="F23" s="1000">
        <f>+'Resumen '!D30</f>
        <v>2362000</v>
      </c>
      <c r="G23" s="1000"/>
      <c r="H23" s="1000">
        <f>+'Resumen '!E30</f>
        <v>2388230</v>
      </c>
      <c r="I23" s="1000">
        <f t="shared" si="7"/>
        <v>0.50276091894497743</v>
      </c>
      <c r="J23" s="1001">
        <f>+B23+F23</f>
        <v>5195532</v>
      </c>
      <c r="K23" s="1001">
        <f t="shared" si="8"/>
        <v>0.49730116116306211</v>
      </c>
      <c r="L23" s="995">
        <f>+H23+D23</f>
        <v>5251924</v>
      </c>
      <c r="M23" s="1001">
        <f t="shared" si="9"/>
        <v>0.50269883883693789</v>
      </c>
      <c r="N23" s="995">
        <f>J23+L23</f>
        <v>10447456</v>
      </c>
      <c r="O23" s="1832">
        <f>+Tabla52[[#This Row],[SFS-Hombres ]]/Tabla52[[#This Row],[SFS-Mujeres  ]]</f>
        <v>0.98926260166750324</v>
      </c>
      <c r="P23" s="1838">
        <f t="shared" si="10"/>
        <v>1.0111049957662996</v>
      </c>
      <c r="Q23" s="1833">
        <f>+Tabla52[[#This Row],[SFS-Mujeres  ]]/Tabla52[[#This Row],[SFS-Hombres ]]</f>
        <v>1.0108539414250552</v>
      </c>
      <c r="R23" s="1834">
        <f>+Tabla52[[#This Row],[SFS-Mujeres  ]]/Tabla52[[#This Row],[SFS-Total ]]</f>
        <v>0.50269883883693789</v>
      </c>
      <c r="S23" s="1834">
        <f>+Tabla52[[#This Row],[SFS-Hombres ]]/Tabla52[[#This Row],[SFS-Total ]]</f>
        <v>0.49730116116306211</v>
      </c>
      <c r="T23" s="710">
        <f>+'III.1.3.Afil.SFSPob.Nac.'!B22-Tabla52[[#This Row],[SFS-Total ]]</f>
        <v>116976</v>
      </c>
    </row>
    <row r="24" spans="1:21" ht="30.75" customHeight="1">
      <c r="A24" s="2103" t="s">
        <v>499</v>
      </c>
      <c r="B24" s="2103"/>
      <c r="C24" s="2103"/>
      <c r="D24" s="2103"/>
      <c r="E24" s="2103"/>
      <c r="F24" s="2103"/>
      <c r="G24" s="2103"/>
      <c r="H24" s="2103"/>
      <c r="I24" s="2103"/>
      <c r="J24" s="2103"/>
      <c r="K24" s="2103"/>
      <c r="L24" s="2103"/>
      <c r="M24" s="2103"/>
      <c r="N24" s="2103"/>
      <c r="O24" s="2103"/>
      <c r="P24" s="2103"/>
      <c r="Q24" s="2103"/>
      <c r="R24" s="2103"/>
      <c r="S24" s="2103"/>
    </row>
    <row r="25" spans="1:21" ht="25.5" customHeight="1">
      <c r="A25" s="11"/>
      <c r="O25" s="11"/>
      <c r="P25" s="11"/>
      <c r="Q25" s="11"/>
    </row>
    <row r="26" spans="1:21" ht="25.5" customHeight="1">
      <c r="A26" s="11"/>
      <c r="O26" s="11"/>
      <c r="P26" s="11"/>
      <c r="Q26" s="11"/>
    </row>
    <row r="27" spans="1:21" ht="25.5" customHeight="1">
      <c r="A27" s="11"/>
      <c r="O27" s="11"/>
      <c r="P27" s="11"/>
      <c r="Q27" s="11"/>
    </row>
    <row r="28" spans="1:21" ht="25.5" customHeight="1">
      <c r="A28" s="11"/>
      <c r="O28" s="11"/>
      <c r="P28" s="11"/>
      <c r="Q28" s="11"/>
    </row>
    <row r="29" spans="1:21" ht="25.5" customHeight="1">
      <c r="A29" s="11"/>
      <c r="O29" s="11"/>
      <c r="P29" s="11"/>
      <c r="Q29" s="11"/>
    </row>
    <row r="30" spans="1:21" ht="25.5" customHeight="1">
      <c r="A30" s="11"/>
      <c r="O30" s="11"/>
      <c r="P30" s="11"/>
      <c r="Q30" s="11"/>
    </row>
    <row r="31" spans="1:21" ht="56.25" customHeight="1">
      <c r="A31" s="11"/>
      <c r="O31" s="11"/>
      <c r="P31" s="11"/>
      <c r="Q31" s="11"/>
    </row>
    <row r="32" spans="1:21" ht="25.5" customHeight="1">
      <c r="A32" s="11"/>
      <c r="O32" s="11"/>
      <c r="P32" s="11"/>
      <c r="Q32" s="11"/>
    </row>
    <row r="33" spans="1:17" ht="25.5" customHeight="1">
      <c r="A33" s="11"/>
      <c r="O33" s="11"/>
      <c r="P33" s="11"/>
      <c r="Q33" s="11"/>
    </row>
    <row r="34" spans="1:17" ht="96.7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row r="38" spans="1:17" ht="25.5" customHeight="1">
      <c r="A38" s="11"/>
      <c r="O38" s="11"/>
      <c r="P38" s="11"/>
      <c r="Q38" s="11"/>
    </row>
  </sheetData>
  <mergeCells count="3">
    <mergeCell ref="A2:S2"/>
    <mergeCell ref="A1:S1"/>
    <mergeCell ref="A24:S24"/>
  </mergeCells>
  <pageMargins left="0.70866141732283472" right="0.70866141732283472" top="0.74803149606299213" bottom="0.74803149606299213" header="0.31496062992125984" footer="0.31496062992125984"/>
  <pageSetup scale="58" orientation="landscape" r:id="rId1"/>
  <ignoredErrors>
    <ignoredError sqref="R8:S8" calculatedColumn="1"/>
  </ignoredErrors>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6">
    <tabColor theme="6" tint="-0.249977111117893"/>
    <pageSetUpPr fitToPage="1"/>
  </sheetPr>
  <dimension ref="A2:W41"/>
  <sheetViews>
    <sheetView showGridLines="0" view="pageBreakPreview" zoomScale="40" zoomScaleNormal="100" zoomScaleSheetLayoutView="40" workbookViewId="0">
      <selection activeCell="M32" sqref="M32:P32"/>
    </sheetView>
  </sheetViews>
  <sheetFormatPr defaultColWidth="11.42578125" defaultRowHeight="36"/>
  <cols>
    <col min="1" max="1" width="12.85546875" customWidth="1"/>
    <col min="2" max="2" width="23.5703125" customWidth="1"/>
    <col min="3" max="3" width="27.7109375" customWidth="1"/>
    <col min="4" max="4" width="29.5703125" customWidth="1"/>
    <col min="5" max="5" width="29.85546875" customWidth="1"/>
    <col min="6" max="7" width="23.5703125" customWidth="1"/>
    <col min="8" max="8" width="44.28515625" customWidth="1"/>
    <col min="9" max="9" width="61.85546875" customWidth="1"/>
    <col min="10" max="10" width="47.42578125" customWidth="1"/>
    <col min="11" max="11" width="35.42578125" customWidth="1"/>
    <col min="12" max="12" width="8.7109375" customWidth="1"/>
    <col min="13" max="13" width="54.28515625" style="1624" customWidth="1"/>
    <col min="14" max="17" width="44.42578125" style="1624" customWidth="1"/>
    <col min="18" max="18" width="19.28515625" style="1625" customWidth="1"/>
    <col min="19" max="23" width="11.42578125" style="1625"/>
  </cols>
  <sheetData>
    <row r="2" spans="1:17" ht="75" customHeight="1"/>
    <row r="3" spans="1:17" ht="53.25" customHeight="1"/>
    <row r="4" spans="1:17" ht="22.5" customHeight="1"/>
    <row r="5" spans="1:17" hidden="1"/>
    <row r="6" spans="1:17" ht="21.75" hidden="1" customHeight="1">
      <c r="A6" s="2109" t="s">
        <v>500</v>
      </c>
      <c r="B6" s="2110"/>
      <c r="C6" s="2110"/>
      <c r="D6" s="2110"/>
      <c r="E6" s="2110"/>
      <c r="F6" s="2110"/>
      <c r="G6" s="2110"/>
      <c r="H6" s="2110"/>
      <c r="I6" s="2110"/>
      <c r="J6" s="2110"/>
      <c r="K6" s="2110"/>
    </row>
    <row r="7" spans="1:17" ht="13.5" customHeight="1">
      <c r="A7" s="2110"/>
      <c r="B7" s="2110"/>
      <c r="C7" s="2110"/>
      <c r="D7" s="2110"/>
      <c r="E7" s="2110"/>
      <c r="F7" s="2110"/>
      <c r="G7" s="2110"/>
      <c r="H7" s="2110"/>
      <c r="I7" s="2110"/>
      <c r="J7" s="2110"/>
      <c r="K7" s="2110"/>
      <c r="M7" s="1626"/>
    </row>
    <row r="8" spans="1:17" ht="45" customHeight="1">
      <c r="A8" s="2110"/>
      <c r="B8" s="2110"/>
      <c r="C8" s="2110"/>
      <c r="D8" s="2110"/>
      <c r="E8" s="2110"/>
      <c r="F8" s="2110"/>
      <c r="G8" s="2110"/>
      <c r="H8" s="2110"/>
      <c r="I8" s="2110"/>
      <c r="J8" s="2110"/>
      <c r="K8" s="2110"/>
      <c r="N8" s="1627">
        <f>+ (4630845-1208042)/1208042</f>
        <v>2.8333476816203409</v>
      </c>
      <c r="O8" s="1628">
        <f>4630845/1208042</f>
        <v>3.8333476816203409</v>
      </c>
    </row>
    <row r="9" spans="1:17">
      <c r="A9" s="2110"/>
      <c r="B9" s="2110"/>
      <c r="C9" s="2110"/>
      <c r="D9" s="2110"/>
      <c r="E9" s="2110"/>
      <c r="F9" s="2110"/>
      <c r="G9" s="2110"/>
      <c r="H9" s="2110"/>
      <c r="I9" s="2110"/>
      <c r="J9" s="2110"/>
      <c r="K9" s="2110"/>
      <c r="N9" s="1627">
        <f>+ (250924-2479277)/2479277</f>
        <v>-0.8987914621883718</v>
      </c>
      <c r="O9" s="1628">
        <f>4630845/1208042</f>
        <v>3.8333476816203409</v>
      </c>
    </row>
    <row r="10" spans="1:17" ht="18.75" customHeight="1">
      <c r="A10" s="2110"/>
      <c r="B10" s="2110"/>
      <c r="C10" s="2110"/>
      <c r="D10" s="2110"/>
      <c r="E10" s="2110"/>
      <c r="F10" s="2110"/>
      <c r="G10" s="2110"/>
      <c r="H10" s="2110"/>
      <c r="I10" s="2110"/>
      <c r="J10" s="2110"/>
      <c r="K10" s="2110"/>
    </row>
    <row r="11" spans="1:17" ht="18.75" customHeight="1">
      <c r="A11" s="2110"/>
      <c r="B11" s="2110"/>
      <c r="C11" s="2110"/>
      <c r="D11" s="2110"/>
      <c r="E11" s="2110"/>
      <c r="F11" s="2110"/>
      <c r="G11" s="2110"/>
      <c r="H11" s="2110"/>
      <c r="I11" s="2110"/>
      <c r="J11" s="2110"/>
      <c r="K11" s="2110"/>
      <c r="N11" s="1628"/>
      <c r="O11" s="1627"/>
    </row>
    <row r="12" spans="1:17" ht="72">
      <c r="A12" s="2110"/>
      <c r="B12" s="2110"/>
      <c r="C12" s="2110"/>
      <c r="D12" s="2110"/>
      <c r="E12" s="2110"/>
      <c r="F12" s="2110"/>
      <c r="G12" s="2110"/>
      <c r="H12" s="2110"/>
      <c r="I12" s="2110"/>
      <c r="J12" s="2110"/>
      <c r="K12" s="2110"/>
      <c r="M12" s="1629" t="str">
        <f>+'III.2.2. Afil. SFS RC Anual '!B4</f>
        <v>Afiliados Titulares RC</v>
      </c>
      <c r="N12" s="1629" t="str">
        <f>+'III.2.2. Afil. SFS RC Anual '!C4</f>
        <v>Dependientes  Totales RC</v>
      </c>
      <c r="O12" s="1629" t="str">
        <f>+'III.2.2. Afil. SFS RC Anual '!D4</f>
        <v>Depend.  Directos  RC</v>
      </c>
      <c r="P12" s="1629" t="str">
        <f>+'III.2.2. Afil. SFS RC Anual '!E4</f>
        <v>Depend.  Adicionales RC</v>
      </c>
      <c r="Q12" s="1629" t="str">
        <f>+'III.2.2. Afil. SFS RC Anual '!F4</f>
        <v xml:space="preserve">Afiliación Total SFS RC </v>
      </c>
    </row>
    <row r="13" spans="1:17">
      <c r="A13" s="2110"/>
      <c r="B13" s="2110"/>
      <c r="C13" s="2110"/>
      <c r="D13" s="2110"/>
      <c r="E13" s="2110"/>
      <c r="F13" s="2110"/>
      <c r="G13" s="2110"/>
      <c r="H13" s="2110"/>
      <c r="I13" s="2110"/>
      <c r="J13" s="2110"/>
      <c r="K13" s="2110"/>
      <c r="M13" s="1630">
        <f>+'III.2.2. Afil. SFS RC Anual '!B22</f>
        <v>2191942</v>
      </c>
      <c r="N13" s="1630">
        <f>+'III.2.2. Afil. SFS RC Anual '!C22</f>
        <v>2558288</v>
      </c>
      <c r="O13" s="1631">
        <f>+'III.2.2. Afil. SFS RC Anual '!D22</f>
        <v>2292413</v>
      </c>
      <c r="P13" s="1630">
        <f>+'III.2.2. Afil. SFS RC Anual '!E22</f>
        <v>265875</v>
      </c>
      <c r="Q13" s="1630">
        <f>+'III.2.2. Afil. SFS RC Anual '!F22</f>
        <v>4750230</v>
      </c>
    </row>
    <row r="14" spans="1:17">
      <c r="A14" s="2110"/>
      <c r="B14" s="2110"/>
      <c r="C14" s="2110"/>
      <c r="D14" s="2110"/>
      <c r="E14" s="2110"/>
      <c r="F14" s="2110"/>
      <c r="G14" s="2110"/>
      <c r="H14" s="2110"/>
      <c r="I14" s="2110"/>
      <c r="J14" s="2110"/>
      <c r="K14" s="2110"/>
      <c r="M14" s="1632">
        <f>+M13/$Q$13</f>
        <v>0.46143913031579525</v>
      </c>
      <c r="N14" s="1632">
        <f>+N13/$Q$13</f>
        <v>0.5385608696842048</v>
      </c>
      <c r="O14" s="1632">
        <f>+O13/$Q$13</f>
        <v>0.48258989564715815</v>
      </c>
      <c r="P14" s="1632">
        <f>+P13/$Q$13</f>
        <v>5.5970974037046629E-2</v>
      </c>
      <c r="Q14" s="1633">
        <f>+Q13/$Q$13</f>
        <v>1</v>
      </c>
    </row>
    <row r="15" spans="1:17">
      <c r="A15" s="2110"/>
      <c r="B15" s="2110"/>
      <c r="C15" s="2110"/>
      <c r="D15" s="2110"/>
      <c r="E15" s="2110"/>
      <c r="F15" s="2110"/>
      <c r="G15" s="2110"/>
      <c r="H15" s="2110"/>
      <c r="I15" s="2110"/>
      <c r="J15" s="2110"/>
      <c r="K15" s="2110"/>
    </row>
    <row r="16" spans="1:17">
      <c r="A16" s="2110"/>
      <c r="B16" s="2110"/>
      <c r="C16" s="2110"/>
      <c r="D16" s="2110"/>
      <c r="E16" s="2110"/>
      <c r="F16" s="2110"/>
      <c r="G16" s="2110"/>
      <c r="H16" s="2110"/>
      <c r="I16" s="2110"/>
      <c r="J16" s="2110"/>
      <c r="K16" s="2110"/>
      <c r="O16" s="1624" t="s">
        <v>501</v>
      </c>
    </row>
    <row r="17" spans="1:18" ht="108">
      <c r="A17" s="2110"/>
      <c r="B17" s="2110"/>
      <c r="C17" s="2110"/>
      <c r="D17" s="2110"/>
      <c r="E17" s="2110"/>
      <c r="F17" s="2110"/>
      <c r="G17" s="2110"/>
      <c r="H17" s="2110"/>
      <c r="I17" s="2110"/>
      <c r="J17" s="2110"/>
      <c r="K17" s="2110"/>
      <c r="M17" s="1634" t="s">
        <v>502</v>
      </c>
      <c r="N17" s="1635">
        <f>+N13/M13</f>
        <v>1.1671330719517214</v>
      </c>
    </row>
    <row r="18" spans="1:18" ht="72">
      <c r="A18" s="2110"/>
      <c r="B18" s="2110"/>
      <c r="C18" s="2110"/>
      <c r="D18" s="2110"/>
      <c r="E18" s="2110"/>
      <c r="F18" s="2110"/>
      <c r="G18" s="2110"/>
      <c r="H18" s="2110"/>
      <c r="I18" s="2110"/>
      <c r="J18" s="2110"/>
      <c r="K18" s="2110"/>
      <c r="M18" s="1634" t="s">
        <v>503</v>
      </c>
      <c r="N18" s="1635">
        <f>+N13/O13</f>
        <v>1.1159804101616944</v>
      </c>
    </row>
    <row r="19" spans="1:18" ht="72">
      <c r="A19" s="2110"/>
      <c r="B19" s="2110"/>
      <c r="C19" s="2110"/>
      <c r="D19" s="2110"/>
      <c r="E19" s="2110"/>
      <c r="F19" s="2110"/>
      <c r="G19" s="2110"/>
      <c r="H19" s="2110"/>
      <c r="I19" s="2110"/>
      <c r="J19" s="2110"/>
      <c r="K19" s="2110"/>
      <c r="M19" s="1634" t="s">
        <v>504</v>
      </c>
      <c r="N19" s="1635">
        <f>+'III.2.2. Afil. SFS RC Anual '!J22</f>
        <v>1.94432311472593E-2</v>
      </c>
    </row>
    <row r="20" spans="1:18">
      <c r="A20" s="2110"/>
      <c r="B20" s="2110"/>
      <c r="C20" s="2110"/>
      <c r="D20" s="2110"/>
      <c r="E20" s="2110"/>
      <c r="F20" s="2110"/>
      <c r="G20" s="2110"/>
      <c r="H20" s="2110"/>
      <c r="I20" s="2110"/>
      <c r="J20" s="2110"/>
      <c r="K20" s="2110"/>
      <c r="M20" s="1636"/>
      <c r="N20" s="1637"/>
    </row>
    <row r="21" spans="1:18">
      <c r="A21" s="2110"/>
      <c r="B21" s="2110"/>
      <c r="C21" s="2110"/>
      <c r="D21" s="2110"/>
      <c r="E21" s="2110"/>
      <c r="F21" s="2110"/>
      <c r="G21" s="2110"/>
      <c r="H21" s="2110"/>
      <c r="I21" s="2110"/>
      <c r="J21" s="2110"/>
      <c r="K21" s="2110"/>
    </row>
    <row r="22" spans="1:18">
      <c r="A22" s="2110"/>
      <c r="B22" s="2110"/>
      <c r="C22" s="2110"/>
      <c r="D22" s="2110"/>
      <c r="E22" s="2110"/>
      <c r="F22" s="2110"/>
      <c r="G22" s="2110"/>
      <c r="H22" s="2110"/>
      <c r="I22" s="2110"/>
      <c r="J22" s="2110"/>
      <c r="K22" s="2110"/>
      <c r="M22" s="1638" t="s">
        <v>238</v>
      </c>
      <c r="N22" s="1639">
        <f>+'III.2.3.Afil. SFS RC X sex.tipo'!F22</f>
        <v>2362000</v>
      </c>
      <c r="O22" s="1640">
        <f>+N22/$N$24</f>
        <v>0.49723908105502262</v>
      </c>
    </row>
    <row r="23" spans="1:18">
      <c r="A23" s="2110"/>
      <c r="B23" s="2110"/>
      <c r="C23" s="2110"/>
      <c r="D23" s="2110"/>
      <c r="E23" s="2110"/>
      <c r="F23" s="2110"/>
      <c r="G23" s="2110"/>
      <c r="H23" s="2110"/>
      <c r="I23" s="2110"/>
      <c r="J23" s="2110"/>
      <c r="K23" s="2110"/>
      <c r="M23" s="1641" t="s">
        <v>239</v>
      </c>
      <c r="N23" s="1639">
        <f>+'III.2.3.Afil. SFS RC X sex.tipo'!K22</f>
        <v>2388230</v>
      </c>
      <c r="O23" s="1640">
        <f>+N23/$N$24</f>
        <v>0.50276091894497743</v>
      </c>
    </row>
    <row r="24" spans="1:18">
      <c r="A24" s="2110"/>
      <c r="B24" s="2110"/>
      <c r="C24" s="2110"/>
      <c r="D24" s="2110"/>
      <c r="E24" s="2110"/>
      <c r="F24" s="2110"/>
      <c r="G24" s="2110"/>
      <c r="H24" s="2110"/>
      <c r="I24" s="2110"/>
      <c r="J24" s="2110"/>
      <c r="K24" s="2110"/>
      <c r="M24" s="1641" t="s">
        <v>235</v>
      </c>
      <c r="N24" s="1639">
        <f>SUM(N22:N23)</f>
        <v>4750230</v>
      </c>
      <c r="O24" s="1642">
        <f>+N24/$N$24</f>
        <v>1</v>
      </c>
    </row>
    <row r="25" spans="1:18">
      <c r="A25" s="2110"/>
      <c r="B25" s="2110"/>
      <c r="C25" s="2110"/>
      <c r="D25" s="2110"/>
      <c r="E25" s="2110"/>
      <c r="F25" s="2110"/>
      <c r="G25" s="2110"/>
      <c r="H25" s="2110"/>
      <c r="I25" s="2110"/>
      <c r="J25" s="2110"/>
      <c r="K25" s="2110"/>
    </row>
    <row r="26" spans="1:18">
      <c r="A26" s="2110"/>
      <c r="B26" s="2110"/>
      <c r="C26" s="2110"/>
      <c r="D26" s="2110"/>
      <c r="E26" s="2110"/>
      <c r="F26" s="2110"/>
      <c r="G26" s="2110"/>
      <c r="H26" s="2110"/>
      <c r="I26" s="2110"/>
      <c r="J26" s="2110"/>
      <c r="K26" s="2110"/>
    </row>
    <row r="27" spans="1:18">
      <c r="A27" s="2110"/>
      <c r="B27" s="2110"/>
      <c r="C27" s="2110"/>
      <c r="D27" s="2110"/>
      <c r="E27" s="2110"/>
      <c r="F27" s="2110"/>
      <c r="G27" s="2110"/>
      <c r="H27" s="2110"/>
      <c r="I27" s="2110"/>
      <c r="J27" s="2110"/>
      <c r="K27" s="2110"/>
      <c r="M27" s="2104" t="str">
        <f>+M22</f>
        <v>Masculino</v>
      </c>
      <c r="N27" s="2104"/>
      <c r="O27" s="2104"/>
      <c r="P27" s="2104"/>
    </row>
    <row r="28" spans="1:18">
      <c r="A28" s="2110"/>
      <c r="B28" s="2110"/>
      <c r="C28" s="2110"/>
      <c r="D28" s="2110"/>
      <c r="E28" s="2110"/>
      <c r="F28" s="2110"/>
      <c r="G28" s="2110"/>
      <c r="H28" s="2110"/>
      <c r="I28" s="2110"/>
      <c r="J28" s="2110"/>
      <c r="K28" s="2110"/>
      <c r="M28" s="1643" t="str">
        <f>+'III.2.3.Afil. SFS RC X sex.tipo'!B4</f>
        <v>Titulares-Masc</v>
      </c>
      <c r="N28" s="1644" t="str">
        <f>+'III.2.3.Afil. SFS RC X sex.tipo'!C4</f>
        <v>Dep-Dir-Masc</v>
      </c>
      <c r="O28" s="1644" t="str">
        <f>+'III.2.3.Afil. SFS RC X sex.tipo'!D4</f>
        <v>Dep_Adic-Masc</v>
      </c>
      <c r="P28" s="1644"/>
    </row>
    <row r="29" spans="1:18">
      <c r="A29" s="2110"/>
      <c r="B29" s="2110"/>
      <c r="C29" s="2110"/>
      <c r="D29" s="2110"/>
      <c r="E29" s="2110"/>
      <c r="F29" s="2110"/>
      <c r="G29" s="2110"/>
      <c r="H29" s="2110"/>
      <c r="I29" s="2110"/>
      <c r="J29" s="2110"/>
      <c r="K29" s="2110"/>
      <c r="M29" s="1639">
        <f>+'III.2.3.Afil. SFS RC X sex.tipo'!B22</f>
        <v>1231096</v>
      </c>
      <c r="N29" s="1639">
        <f>+'III.2.3.Afil. SFS RC X sex.tipo'!C22</f>
        <v>1047184</v>
      </c>
      <c r="O29" s="1639">
        <f>+'III.2.3.Afil. SFS RC X sex.tipo'!D22</f>
        <v>83720</v>
      </c>
      <c r="P29" s="1645">
        <f>+'III.2.3.Afil. SFS RC X sex.tipo'!F22</f>
        <v>2362000</v>
      </c>
    </row>
    <row r="30" spans="1:18">
      <c r="A30" s="2110"/>
      <c r="B30" s="2110"/>
      <c r="C30" s="2110"/>
      <c r="D30" s="2110"/>
      <c r="E30" s="2110"/>
      <c r="F30" s="2110"/>
      <c r="G30" s="2110"/>
      <c r="H30" s="2110"/>
      <c r="I30" s="2110"/>
      <c r="J30" s="2110"/>
      <c r="K30" s="2110"/>
      <c r="M30" s="1642">
        <f>+M29/$P$29</f>
        <v>0.52120914479254865</v>
      </c>
      <c r="N30" s="1642">
        <f>+N29/$P$29</f>
        <v>0.44334631668077901</v>
      </c>
      <c r="O30" s="1642">
        <f>+O29/$P$29</f>
        <v>3.5444538526672315E-2</v>
      </c>
      <c r="P30" s="1642">
        <f>+P29/$P$29</f>
        <v>1</v>
      </c>
      <c r="Q30" s="1642">
        <f>+P29/(P29+P34)</f>
        <v>0.49723908105502262</v>
      </c>
    </row>
    <row r="31" spans="1:18">
      <c r="A31" s="2110"/>
      <c r="B31" s="2110"/>
      <c r="C31" s="2110"/>
      <c r="D31" s="2110"/>
      <c r="E31" s="2110"/>
      <c r="F31" s="2110"/>
      <c r="G31" s="2110"/>
      <c r="H31" s="2110"/>
      <c r="I31" s="2110"/>
      <c r="J31" s="2110"/>
      <c r="K31" s="2110"/>
      <c r="M31" s="1642"/>
      <c r="N31" s="2106">
        <f>+O30+N30</f>
        <v>0.47879085520745135</v>
      </c>
      <c r="O31" s="2107"/>
      <c r="P31" s="2108"/>
    </row>
    <row r="32" spans="1:18">
      <c r="A32" s="2110"/>
      <c r="B32" s="2110"/>
      <c r="C32" s="2110"/>
      <c r="D32" s="2110"/>
      <c r="E32" s="2110"/>
      <c r="F32" s="2110"/>
      <c r="G32" s="2110"/>
      <c r="H32" s="2110"/>
      <c r="I32" s="2110"/>
      <c r="J32" s="2110"/>
      <c r="K32" s="2110"/>
      <c r="M32" s="2105" t="str">
        <f>+M23</f>
        <v>Femenino</v>
      </c>
      <c r="N32" s="2105"/>
      <c r="O32" s="2105"/>
      <c r="P32" s="2105"/>
      <c r="R32" s="1646">
        <f>+M30-M35</f>
        <v>0.11888357313487746</v>
      </c>
    </row>
    <row r="33" spans="1:18">
      <c r="A33" s="2110"/>
      <c r="B33" s="2110"/>
      <c r="C33" s="2110"/>
      <c r="D33" s="2110"/>
      <c r="E33" s="2110"/>
      <c r="F33" s="2110"/>
      <c r="G33" s="2110"/>
      <c r="H33" s="2110"/>
      <c r="I33" s="2110"/>
      <c r="J33" s="2110"/>
      <c r="K33" s="2110"/>
      <c r="M33" s="1647" t="str">
        <f>+'III.2.3.Afil. SFS RC X sex.tipo'!G4</f>
        <v>Titulares-Fem</v>
      </c>
      <c r="N33" s="1644" t="str">
        <f>+'III.2.3.Afil. SFS RC X sex.tipo'!H4</f>
        <v>Dep-Dir-Fem</v>
      </c>
      <c r="O33" s="1644" t="str">
        <f>+'III.2.3.Afil. SFS RC X sex.tipo'!I4</f>
        <v>Dep_Adic-Fem</v>
      </c>
      <c r="P33" s="1644"/>
    </row>
    <row r="34" spans="1:18">
      <c r="A34" s="2110"/>
      <c r="B34" s="2110"/>
      <c r="C34" s="2110"/>
      <c r="D34" s="2110"/>
      <c r="E34" s="2110"/>
      <c r="F34" s="2110"/>
      <c r="G34" s="2110"/>
      <c r="H34" s="2110"/>
      <c r="I34" s="2110"/>
      <c r="J34" s="2110"/>
      <c r="K34" s="2110"/>
      <c r="M34" s="1639">
        <f>+'III.2.3.Afil. SFS RC X sex.tipo'!G22</f>
        <v>960846</v>
      </c>
      <c r="N34" s="1639">
        <f>+'III.2.3.Afil. SFS RC X sex.tipo'!H22</f>
        <v>1245229</v>
      </c>
      <c r="O34" s="1639">
        <f>+'III.2.3.Afil. SFS RC X sex.tipo'!I22</f>
        <v>182155</v>
      </c>
      <c r="P34" s="1645">
        <f>+'III.2.3.Afil. SFS RC X sex.tipo'!K22</f>
        <v>2388230</v>
      </c>
    </row>
    <row r="35" spans="1:18">
      <c r="A35" s="2110"/>
      <c r="B35" s="2110"/>
      <c r="C35" s="2110"/>
      <c r="D35" s="2110"/>
      <c r="E35" s="2110"/>
      <c r="F35" s="2110"/>
      <c r="G35" s="2110"/>
      <c r="H35" s="2110"/>
      <c r="I35" s="2110"/>
      <c r="J35" s="2110"/>
      <c r="K35" s="2110"/>
      <c r="M35" s="1648">
        <f>+M34/$P$34</f>
        <v>0.40232557165767119</v>
      </c>
      <c r="N35" s="1648">
        <f>+N34/$P$34</f>
        <v>0.52140246123698308</v>
      </c>
      <c r="O35" s="1648">
        <f>+O34/$P$34</f>
        <v>7.6271967105345798E-2</v>
      </c>
      <c r="P35" s="1642">
        <f>+P34/$P$34</f>
        <v>1</v>
      </c>
      <c r="Q35" s="1642">
        <f>P34/(P34+P29)</f>
        <v>0.50276091894497743</v>
      </c>
    </row>
    <row r="36" spans="1:18">
      <c r="A36" s="2110"/>
      <c r="B36" s="2110"/>
      <c r="C36" s="2110"/>
      <c r="D36" s="2110"/>
      <c r="E36" s="2110"/>
      <c r="F36" s="2110"/>
      <c r="G36" s="2110"/>
      <c r="H36" s="2110"/>
      <c r="I36" s="2110"/>
      <c r="J36" s="2110"/>
      <c r="K36" s="2110"/>
      <c r="N36" s="1638">
        <f>+N35+O35</f>
        <v>0.59767442834232887</v>
      </c>
    </row>
    <row r="37" spans="1:18">
      <c r="A37" s="2110"/>
      <c r="B37" s="2110"/>
      <c r="C37" s="2110"/>
      <c r="D37" s="2110"/>
      <c r="E37" s="2110"/>
      <c r="F37" s="2110"/>
      <c r="G37" s="2110"/>
      <c r="H37" s="2110"/>
      <c r="I37" s="2110"/>
      <c r="J37" s="2110"/>
      <c r="K37" s="2110"/>
      <c r="Q37" s="1649"/>
      <c r="R37" s="1649"/>
    </row>
    <row r="38" spans="1:18">
      <c r="A38" s="2110"/>
      <c r="B38" s="2110"/>
      <c r="C38" s="2110"/>
      <c r="D38" s="2110"/>
      <c r="E38" s="2110"/>
      <c r="F38" s="2110"/>
      <c r="G38" s="2110"/>
      <c r="H38" s="2110"/>
      <c r="I38" s="2110"/>
      <c r="J38" s="2110"/>
      <c r="K38" s="2110"/>
      <c r="M38" s="1650" t="s">
        <v>505</v>
      </c>
      <c r="N38" s="1651">
        <f>+(N29/M29)</f>
        <v>0.85061116273629356</v>
      </c>
      <c r="O38" s="1652" t="s">
        <v>1</v>
      </c>
      <c r="P38" s="1653">
        <f>1- 4577068/4630845</f>
        <v>1.1612783412098704E-2</v>
      </c>
      <c r="Q38" s="1653">
        <f>53777/4630845</f>
        <v>1.1612783412098655E-2</v>
      </c>
      <c r="R38" s="1649"/>
    </row>
    <row r="39" spans="1:18">
      <c r="A39" s="2110"/>
      <c r="B39" s="2110"/>
      <c r="C39" s="2110"/>
      <c r="D39" s="2110"/>
      <c r="E39" s="2110"/>
      <c r="F39" s="2110"/>
      <c r="G39" s="2110"/>
      <c r="H39" s="2110"/>
      <c r="I39" s="2110"/>
      <c r="J39" s="2110"/>
      <c r="K39" s="2110"/>
      <c r="M39" s="1650" t="s">
        <v>506</v>
      </c>
      <c r="N39" s="1651">
        <f>+N34/M34</f>
        <v>1.295971466811539</v>
      </c>
      <c r="P39" s="1649" t="s">
        <v>507</v>
      </c>
      <c r="Q39" s="1649"/>
      <c r="R39" s="1649"/>
    </row>
    <row r="40" spans="1:18" ht="83.25" customHeight="1">
      <c r="A40" s="2110"/>
      <c r="B40" s="2110"/>
      <c r="C40" s="2110"/>
      <c r="D40" s="2110"/>
      <c r="E40" s="2110"/>
      <c r="F40" s="2110"/>
      <c r="G40" s="2110"/>
      <c r="H40" s="2110"/>
      <c r="I40" s="2110"/>
      <c r="J40" s="2110"/>
      <c r="K40" s="2110"/>
      <c r="M40" s="1654" t="s">
        <v>508</v>
      </c>
      <c r="N40" s="1655">
        <f>+P29/P34</f>
        <v>0.98901697072727501</v>
      </c>
      <c r="O40" s="1656"/>
    </row>
    <row r="41" spans="1:18">
      <c r="A41" s="2110"/>
      <c r="B41" s="2110"/>
      <c r="C41" s="2110"/>
      <c r="D41" s="2110"/>
      <c r="E41" s="2110"/>
      <c r="F41" s="2110"/>
      <c r="G41" s="2110"/>
      <c r="H41" s="2110"/>
      <c r="I41" s="2110"/>
      <c r="J41" s="2110"/>
      <c r="K41" s="2110"/>
    </row>
  </sheetData>
  <mergeCells count="4">
    <mergeCell ref="M27:P27"/>
    <mergeCell ref="M32:P32"/>
    <mergeCell ref="N31:P31"/>
    <mergeCell ref="A6:K41"/>
  </mergeCells>
  <pageMargins left="0.70866141732283472" right="0.70866141732283472" top="0.74803149606299213" bottom="0.74803149606299213" header="0.31496062992125984" footer="0.31496062992125984"/>
  <pageSetup scale="3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7">
    <tabColor theme="6" tint="-0.249977111117893"/>
    <pageSetUpPr fitToPage="1"/>
  </sheetPr>
  <dimension ref="A1:S142"/>
  <sheetViews>
    <sheetView showGridLines="0" view="pageBreakPreview" zoomScale="55" zoomScaleNormal="100" zoomScaleSheetLayoutView="55" zoomScalePageLayoutView="62" workbookViewId="0">
      <selection activeCell="M30" sqref="M30"/>
    </sheetView>
  </sheetViews>
  <sheetFormatPr defaultColWidth="11.42578125" defaultRowHeight="14.25"/>
  <cols>
    <col min="1" max="1" width="25.42578125" style="307" customWidth="1"/>
    <col min="2" max="5" width="39" style="307" customWidth="1"/>
    <col min="6" max="6" width="31" style="307" customWidth="1"/>
    <col min="7" max="7" width="29.42578125" style="307" customWidth="1"/>
    <col min="8" max="8" width="31.42578125" style="307" customWidth="1"/>
    <col min="9" max="9" width="33" style="307" customWidth="1"/>
    <col min="10" max="10" width="27.85546875" style="307" customWidth="1"/>
    <col min="11" max="12" width="11.42578125" style="307"/>
    <col min="13" max="13" width="57.5703125" style="307" customWidth="1"/>
    <col min="14" max="14" width="69" style="307" customWidth="1"/>
    <col min="15" max="15" width="64.28515625" style="307" customWidth="1"/>
    <col min="16" max="17" width="38.5703125" style="307" customWidth="1"/>
    <col min="18" max="16384" width="11.42578125" style="307"/>
  </cols>
  <sheetData>
    <row r="1" spans="1:19" ht="88.5" customHeight="1">
      <c r="A1" s="2113" t="s">
        <v>509</v>
      </c>
      <c r="B1" s="2114"/>
      <c r="C1" s="2114"/>
      <c r="D1" s="2114"/>
      <c r="E1" s="2114"/>
      <c r="F1" s="2114"/>
      <c r="G1" s="2114"/>
      <c r="H1" s="2114"/>
      <c r="I1" s="2114"/>
      <c r="J1" s="2114"/>
    </row>
    <row r="2" spans="1:19" ht="41.25" customHeight="1">
      <c r="A2" s="2115" t="str">
        <f>+'III.2.3.Afil. SFS RC X sex.tipo'!A2:L2</f>
        <v>Período:  Diciembre 2008 - Abril 2025</v>
      </c>
      <c r="B2" s="2116"/>
      <c r="C2" s="2116"/>
      <c r="D2" s="2116"/>
      <c r="E2" s="2116"/>
      <c r="F2" s="2116"/>
      <c r="G2" s="2116"/>
      <c r="H2" s="2116"/>
      <c r="I2" s="2116"/>
      <c r="J2" s="2116"/>
    </row>
    <row r="3" spans="1:19" ht="22.5" customHeight="1">
      <c r="A3" s="499" t="s">
        <v>510</v>
      </c>
      <c r="B3" s="500"/>
      <c r="C3" s="500"/>
      <c r="D3" s="500"/>
      <c r="E3" s="500"/>
      <c r="F3" s="500"/>
      <c r="G3" s="500"/>
      <c r="H3" s="500"/>
      <c r="I3" s="500"/>
      <c r="J3" s="500"/>
    </row>
    <row r="4" spans="1:19" s="334" customFormat="1" ht="77.25" customHeight="1">
      <c r="A4" s="1007" t="s">
        <v>231</v>
      </c>
      <c r="B4" s="1008" t="s">
        <v>511</v>
      </c>
      <c r="C4" s="1008" t="s">
        <v>512</v>
      </c>
      <c r="D4" s="1008" t="s">
        <v>513</v>
      </c>
      <c r="E4" s="1008" t="s">
        <v>514</v>
      </c>
      <c r="F4" s="1008" t="s">
        <v>515</v>
      </c>
      <c r="G4" s="1008" t="s">
        <v>516</v>
      </c>
      <c r="H4" s="1008" t="s">
        <v>517</v>
      </c>
      <c r="I4" s="1008" t="s">
        <v>518</v>
      </c>
      <c r="J4" s="1009" t="s">
        <v>519</v>
      </c>
      <c r="M4" s="501" t="s">
        <v>231</v>
      </c>
      <c r="N4" s="1005" t="s">
        <v>511</v>
      </c>
      <c r="O4" s="1005" t="s">
        <v>513</v>
      </c>
      <c r="P4" s="1005" t="s">
        <v>514</v>
      </c>
      <c r="Q4" s="333"/>
    </row>
    <row r="5" spans="1:19" ht="26.25">
      <c r="A5" s="737" t="s">
        <v>520</v>
      </c>
      <c r="B5" s="738">
        <v>966146</v>
      </c>
      <c r="C5" s="739">
        <f t="shared" ref="C5:C22" si="0">+D5+E5</f>
        <v>726113</v>
      </c>
      <c r="D5" s="738">
        <v>707328</v>
      </c>
      <c r="E5" s="738">
        <v>18785</v>
      </c>
      <c r="F5" s="739">
        <f t="shared" ref="F5:F22" si="1">+B5+D5+E5</f>
        <v>1692259</v>
      </c>
      <c r="G5" s="949">
        <f t="shared" ref="G5" si="2">B5/F5</f>
        <v>0.57092088149627218</v>
      </c>
      <c r="H5" s="949">
        <f t="shared" ref="H5" si="3">C5/F5</f>
        <v>0.42907911850372787</v>
      </c>
      <c r="I5" s="1406">
        <f t="shared" ref="I5:I22" si="4">+C5/B5</f>
        <v>0.75155618301995764</v>
      </c>
      <c r="J5" s="1407">
        <v>1.9443231147259318E-2</v>
      </c>
      <c r="M5" s="1558" t="str">
        <f>+A22</f>
        <v>Abr.2025</v>
      </c>
      <c r="N5" s="1006">
        <f>+B22</f>
        <v>2191942</v>
      </c>
      <c r="O5" s="1006">
        <f>+D22</f>
        <v>2292413</v>
      </c>
      <c r="P5" s="1006">
        <f>+E22</f>
        <v>265875</v>
      </c>
      <c r="Q5" s="333"/>
    </row>
    <row r="6" spans="1:19" ht="26.25">
      <c r="A6" s="737" t="s">
        <v>521</v>
      </c>
      <c r="B6" s="1369">
        <v>1079602</v>
      </c>
      <c r="C6" s="1370">
        <f t="shared" si="0"/>
        <v>1008697</v>
      </c>
      <c r="D6" s="1369">
        <v>962409</v>
      </c>
      <c r="E6" s="1369">
        <v>46288</v>
      </c>
      <c r="F6" s="1370">
        <f t="shared" si="1"/>
        <v>2088299</v>
      </c>
      <c r="G6" s="949">
        <f t="shared" ref="G6:G22" si="5">B6/F6</f>
        <v>0.51697673561113611</v>
      </c>
      <c r="H6" s="949">
        <f t="shared" ref="H6:H22" si="6">C6/F6</f>
        <v>0.48302326438886384</v>
      </c>
      <c r="I6" s="1406">
        <f t="shared" si="4"/>
        <v>0.93432301903849757</v>
      </c>
      <c r="J6" s="1407">
        <v>1.9443231147259318E-2</v>
      </c>
      <c r="M6" s="333"/>
      <c r="N6" s="333"/>
      <c r="O6" s="333"/>
      <c r="P6" s="333"/>
      <c r="Q6" s="333"/>
    </row>
    <row r="7" spans="1:19" ht="24.75" customHeight="1">
      <c r="A7" s="737" t="s">
        <v>522</v>
      </c>
      <c r="B7" s="1369">
        <v>1152861</v>
      </c>
      <c r="C7" s="1370">
        <f t="shared" si="0"/>
        <v>1211222</v>
      </c>
      <c r="D7" s="1369">
        <v>1140803</v>
      </c>
      <c r="E7" s="1369">
        <v>70419</v>
      </c>
      <c r="F7" s="1370">
        <f t="shared" si="1"/>
        <v>2364083</v>
      </c>
      <c r="G7" s="949">
        <f t="shared" si="5"/>
        <v>0.487656736248262</v>
      </c>
      <c r="H7" s="949">
        <f t="shared" si="6"/>
        <v>0.512343263751738</v>
      </c>
      <c r="I7" s="1406">
        <f t="shared" si="4"/>
        <v>1.0506227550415879</v>
      </c>
      <c r="J7" s="1407">
        <v>1.9443231147259318E-2</v>
      </c>
      <c r="M7" s="501" t="s">
        <v>231</v>
      </c>
      <c r="N7" s="502" t="s">
        <v>523</v>
      </c>
      <c r="O7" s="502" t="s">
        <v>524</v>
      </c>
      <c r="P7" s="333"/>
      <c r="Q7" s="333"/>
    </row>
    <row r="8" spans="1:19" ht="26.25">
      <c r="A8" s="737" t="s">
        <v>525</v>
      </c>
      <c r="B8" s="1369">
        <v>1188345</v>
      </c>
      <c r="C8" s="1370">
        <f t="shared" si="0"/>
        <v>1329078</v>
      </c>
      <c r="D8" s="1369">
        <v>1234019</v>
      </c>
      <c r="E8" s="1369">
        <v>95059</v>
      </c>
      <c r="F8" s="1370">
        <f t="shared" si="1"/>
        <v>2517423</v>
      </c>
      <c r="G8" s="949">
        <f t="shared" si="5"/>
        <v>0.47204820167290124</v>
      </c>
      <c r="H8" s="949">
        <f t="shared" si="6"/>
        <v>0.52795179832709882</v>
      </c>
      <c r="I8" s="1406">
        <f t="shared" si="4"/>
        <v>1.1184277293210305</v>
      </c>
      <c r="J8" s="1407">
        <v>1.9443231147259318E-2</v>
      </c>
      <c r="M8" s="1559" t="str">
        <f>+'III.3.2. Afil anual SFS RS '!B22</f>
        <v>Abr.2025</v>
      </c>
      <c r="N8" s="1006">
        <f>+'III.3.2. Afil anual SFS RS '!C22</f>
        <v>4822818</v>
      </c>
      <c r="O8" s="1006">
        <f>+'III.3.2. Afil anual SFS RS '!D22</f>
        <v>874408</v>
      </c>
      <c r="P8" s="333"/>
      <c r="Q8" s="333"/>
    </row>
    <row r="9" spans="1:19" ht="26.25">
      <c r="A9" s="737" t="s">
        <v>526</v>
      </c>
      <c r="B9" s="1369">
        <v>1242830</v>
      </c>
      <c r="C9" s="1370">
        <f t="shared" si="0"/>
        <v>1445581</v>
      </c>
      <c r="D9" s="1369">
        <v>1332478</v>
      </c>
      <c r="E9" s="1369">
        <v>113103</v>
      </c>
      <c r="F9" s="1370">
        <f t="shared" si="1"/>
        <v>2688411</v>
      </c>
      <c r="G9" s="949">
        <f t="shared" si="5"/>
        <v>0.46229166596922866</v>
      </c>
      <c r="H9" s="949">
        <f t="shared" si="6"/>
        <v>0.53770833403077134</v>
      </c>
      <c r="I9" s="1406">
        <f t="shared" si="4"/>
        <v>1.1631365512580161</v>
      </c>
      <c r="J9" s="1407">
        <v>1.9443231147259318E-2</v>
      </c>
      <c r="M9" s="333"/>
      <c r="N9" s="333"/>
      <c r="O9" s="333"/>
      <c r="P9" s="333"/>
      <c r="Q9" s="333"/>
    </row>
    <row r="10" spans="1:19" ht="26.25">
      <c r="A10" s="737" t="s">
        <v>527</v>
      </c>
      <c r="B10" s="1369">
        <v>1297821</v>
      </c>
      <c r="C10" s="1370">
        <f t="shared" si="0"/>
        <v>1561485</v>
      </c>
      <c r="D10" s="1369">
        <v>1429474</v>
      </c>
      <c r="E10" s="1369">
        <v>132011</v>
      </c>
      <c r="F10" s="1370">
        <f t="shared" si="1"/>
        <v>2859306</v>
      </c>
      <c r="G10" s="949">
        <f t="shared" si="5"/>
        <v>0.45389370707437399</v>
      </c>
      <c r="H10" s="949">
        <f t="shared" si="6"/>
        <v>0.54610629292562596</v>
      </c>
      <c r="I10" s="1406">
        <f t="shared" si="4"/>
        <v>1.203158987256332</v>
      </c>
      <c r="J10" s="1407">
        <v>1.9443231147259318E-2</v>
      </c>
      <c r="M10" s="333"/>
      <c r="N10" s="333"/>
      <c r="O10" s="333"/>
      <c r="P10" s="333"/>
      <c r="Q10" s="333"/>
    </row>
    <row r="11" spans="1:19" ht="26.25" customHeight="1">
      <c r="A11" s="737" t="s">
        <v>528</v>
      </c>
      <c r="B11" s="1369">
        <v>1422986</v>
      </c>
      <c r="C11" s="1370">
        <f t="shared" si="0"/>
        <v>1718613</v>
      </c>
      <c r="D11" s="1369">
        <v>1568541</v>
      </c>
      <c r="E11" s="1369">
        <v>150072</v>
      </c>
      <c r="F11" s="1370">
        <f t="shared" si="1"/>
        <v>3141599</v>
      </c>
      <c r="G11" s="949">
        <f t="shared" si="5"/>
        <v>0.45294959668627344</v>
      </c>
      <c r="H11" s="949">
        <f t="shared" si="6"/>
        <v>0.54705040331372656</v>
      </c>
      <c r="I11" s="1406">
        <f t="shared" si="4"/>
        <v>1.2077511655068989</v>
      </c>
      <c r="J11" s="1407">
        <v>1.9443231147259318E-2</v>
      </c>
      <c r="M11" s="504"/>
      <c r="N11" s="504" t="s">
        <v>529</v>
      </c>
      <c r="O11" s="504" t="s">
        <v>530</v>
      </c>
      <c r="P11" s="333"/>
      <c r="Q11" s="333"/>
    </row>
    <row r="12" spans="1:19" ht="26.25">
      <c r="A12" s="737" t="s">
        <v>531</v>
      </c>
      <c r="B12" s="1369">
        <v>1513634</v>
      </c>
      <c r="C12" s="1370">
        <f t="shared" si="0"/>
        <v>1826204</v>
      </c>
      <c r="D12" s="1369">
        <v>1649407</v>
      </c>
      <c r="E12" s="1369">
        <v>176797</v>
      </c>
      <c r="F12" s="1370">
        <f t="shared" si="1"/>
        <v>3339838</v>
      </c>
      <c r="G12" s="949">
        <f t="shared" si="5"/>
        <v>0.4532058141742204</v>
      </c>
      <c r="H12" s="949">
        <f t="shared" si="6"/>
        <v>0.54679418582577954</v>
      </c>
      <c r="I12" s="1406">
        <f t="shared" si="4"/>
        <v>1.2065030251698892</v>
      </c>
      <c r="J12" s="1407">
        <v>1.9443231147259318E-2</v>
      </c>
      <c r="M12" s="504" t="s">
        <v>532</v>
      </c>
      <c r="N12" s="504">
        <f>+N5</f>
        <v>2191942</v>
      </c>
      <c r="O12" s="504">
        <f>+N8</f>
        <v>4822818</v>
      </c>
      <c r="P12" s="333"/>
      <c r="Q12" s="333"/>
    </row>
    <row r="13" spans="1:19" s="506" customFormat="1" ht="26.25">
      <c r="A13" s="737" t="s">
        <v>533</v>
      </c>
      <c r="B13" s="1369">
        <v>1619670</v>
      </c>
      <c r="C13" s="1370">
        <f t="shared" si="0"/>
        <v>1971618</v>
      </c>
      <c r="D13" s="1369">
        <v>1781414</v>
      </c>
      <c r="E13" s="1369">
        <v>190204</v>
      </c>
      <c r="F13" s="1370">
        <f t="shared" si="1"/>
        <v>3591288</v>
      </c>
      <c r="G13" s="949">
        <f t="shared" si="5"/>
        <v>0.45099975273495191</v>
      </c>
      <c r="H13" s="949">
        <f t="shared" si="6"/>
        <v>0.54900024726504804</v>
      </c>
      <c r="I13" s="1406">
        <f t="shared" si="4"/>
        <v>1.2172961158754561</v>
      </c>
      <c r="J13" s="1407">
        <v>1.9443231147259318E-2</v>
      </c>
      <c r="M13" s="504" t="s">
        <v>534</v>
      </c>
      <c r="N13" s="504">
        <f>+O5</f>
        <v>2292413</v>
      </c>
      <c r="O13" s="504">
        <f>+O8</f>
        <v>874408</v>
      </c>
      <c r="P13" s="333"/>
      <c r="Q13" s="333"/>
      <c r="R13" s="307"/>
      <c r="S13" s="307"/>
    </row>
    <row r="14" spans="1:19" ht="26.25">
      <c r="A14" s="737" t="s">
        <v>535</v>
      </c>
      <c r="B14" s="1369">
        <v>1766077</v>
      </c>
      <c r="C14" s="1370">
        <f t="shared" si="0"/>
        <v>2136515</v>
      </c>
      <c r="D14" s="1369">
        <v>1932996</v>
      </c>
      <c r="E14" s="1369">
        <v>203519</v>
      </c>
      <c r="F14" s="1370">
        <f t="shared" si="1"/>
        <v>3902592</v>
      </c>
      <c r="G14" s="949">
        <f t="shared" si="5"/>
        <v>0.45253949170192531</v>
      </c>
      <c r="H14" s="949">
        <f t="shared" si="6"/>
        <v>0.54746050829807469</v>
      </c>
      <c r="I14" s="1406">
        <f t="shared" si="4"/>
        <v>1.2097518964348666</v>
      </c>
      <c r="J14" s="1407">
        <v>1.9443231147259318E-2</v>
      </c>
      <c r="M14" s="504" t="s">
        <v>536</v>
      </c>
      <c r="N14" s="504">
        <f>+P5</f>
        <v>265875</v>
      </c>
      <c r="O14" s="504"/>
      <c r="P14" s="333"/>
      <c r="Q14" s="333"/>
    </row>
    <row r="15" spans="1:19" s="333" customFormat="1" ht="26.25">
      <c r="A15" s="737" t="s">
        <v>470</v>
      </c>
      <c r="B15" s="1369">
        <v>1859359</v>
      </c>
      <c r="C15" s="1370">
        <f t="shared" si="0"/>
        <v>2294628</v>
      </c>
      <c r="D15" s="1369">
        <v>2074903</v>
      </c>
      <c r="E15" s="1369">
        <v>219725</v>
      </c>
      <c r="F15" s="1370">
        <f t="shared" si="1"/>
        <v>4153987</v>
      </c>
      <c r="G15" s="949">
        <f t="shared" si="5"/>
        <v>0.44760828572645989</v>
      </c>
      <c r="H15" s="949">
        <f t="shared" si="6"/>
        <v>0.55239171427354006</v>
      </c>
      <c r="I15" s="1406">
        <f t="shared" si="4"/>
        <v>1.2340962665090496</v>
      </c>
      <c r="J15" s="1407">
        <v>1.9443231147259318E-2</v>
      </c>
      <c r="M15" s="315"/>
      <c r="N15" s="315"/>
      <c r="O15" s="315"/>
      <c r="P15" s="307"/>
      <c r="Q15" s="307"/>
      <c r="R15" s="307"/>
      <c r="S15" s="307"/>
    </row>
    <row r="16" spans="1:19" s="333" customFormat="1" ht="26.25">
      <c r="A16" s="737" t="s">
        <v>471</v>
      </c>
      <c r="B16" s="1369">
        <v>1891406</v>
      </c>
      <c r="C16" s="1370">
        <f t="shared" si="0"/>
        <v>2337255</v>
      </c>
      <c r="D16" s="1369">
        <v>2112207</v>
      </c>
      <c r="E16" s="1369">
        <v>225048</v>
      </c>
      <c r="F16" s="1370">
        <f t="shared" si="1"/>
        <v>4228661</v>
      </c>
      <c r="G16" s="949">
        <f t="shared" si="5"/>
        <v>0.44728248492844425</v>
      </c>
      <c r="H16" s="949">
        <f t="shared" si="6"/>
        <v>0.55271751507155575</v>
      </c>
      <c r="I16" s="1406">
        <f t="shared" si="4"/>
        <v>1.2357235834083216</v>
      </c>
      <c r="J16" s="1407">
        <v>1.9443231147259318E-2</v>
      </c>
      <c r="M16" s="307"/>
      <c r="N16" s="307"/>
      <c r="O16" s="307"/>
      <c r="P16" s="307"/>
      <c r="Q16" s="307"/>
      <c r="R16" s="307"/>
      <c r="S16" s="307"/>
    </row>
    <row r="17" spans="1:19" s="333" customFormat="1" ht="26.25">
      <c r="A17" s="737" t="s">
        <v>537</v>
      </c>
      <c r="B17" s="738">
        <v>1847991</v>
      </c>
      <c r="C17" s="739">
        <f t="shared" si="0"/>
        <v>2366912</v>
      </c>
      <c r="D17" s="738">
        <v>2140541</v>
      </c>
      <c r="E17" s="738">
        <v>226371</v>
      </c>
      <c r="F17" s="739">
        <f t="shared" si="1"/>
        <v>4214903</v>
      </c>
      <c r="G17" s="949">
        <f t="shared" si="5"/>
        <v>0.43844211835954472</v>
      </c>
      <c r="H17" s="949">
        <f t="shared" si="6"/>
        <v>0.56155788164045528</v>
      </c>
      <c r="I17" s="1406">
        <f t="shared" si="4"/>
        <v>1.2808027744723864</v>
      </c>
      <c r="J17" s="1407">
        <v>1.9443231147259318E-2</v>
      </c>
      <c r="M17" s="307"/>
      <c r="N17" s="307"/>
      <c r="O17" s="307"/>
      <c r="P17" s="307"/>
      <c r="Q17" s="307"/>
      <c r="R17" s="307"/>
      <c r="S17" s="307"/>
    </row>
    <row r="18" spans="1:19" s="333" customFormat="1" ht="26.25">
      <c r="A18" s="737" t="s">
        <v>473</v>
      </c>
      <c r="B18" s="738">
        <v>1928263</v>
      </c>
      <c r="C18" s="739">
        <f t="shared" si="0"/>
        <v>2357096</v>
      </c>
      <c r="D18" s="738">
        <v>2120386</v>
      </c>
      <c r="E18" s="738">
        <v>236710</v>
      </c>
      <c r="F18" s="739">
        <f t="shared" si="1"/>
        <v>4285359</v>
      </c>
      <c r="G18" s="949">
        <f t="shared" si="5"/>
        <v>0.44996533545964296</v>
      </c>
      <c r="H18" s="949">
        <f t="shared" si="6"/>
        <v>0.5500346645403571</v>
      </c>
      <c r="I18" s="1406">
        <f t="shared" si="4"/>
        <v>1.2223934183251974</v>
      </c>
      <c r="J18" s="1407">
        <v>1.9443231147259318E-2</v>
      </c>
      <c r="M18" s="307"/>
      <c r="N18" s="307"/>
      <c r="O18" s="307"/>
      <c r="P18" s="307"/>
      <c r="Q18" s="307"/>
      <c r="R18" s="307"/>
      <c r="S18" s="307"/>
    </row>
    <row r="19" spans="1:19" s="333" customFormat="1" ht="26.25">
      <c r="A19" s="737" t="s">
        <v>474</v>
      </c>
      <c r="B19" s="738">
        <v>2080797</v>
      </c>
      <c r="C19" s="739">
        <f t="shared" si="0"/>
        <v>2488113</v>
      </c>
      <c r="D19" s="738">
        <v>2241626</v>
      </c>
      <c r="E19" s="738">
        <v>246487</v>
      </c>
      <c r="F19" s="739">
        <f t="shared" si="1"/>
        <v>4568910</v>
      </c>
      <c r="G19" s="949">
        <f t="shared" si="5"/>
        <v>0.45542525460120686</v>
      </c>
      <c r="H19" s="949">
        <f t="shared" si="6"/>
        <v>0.54457474539879314</v>
      </c>
      <c r="I19" s="1406">
        <f t="shared" si="4"/>
        <v>1.1957499938725402</v>
      </c>
      <c r="J19" s="1407">
        <v>1.9443231147259318E-2</v>
      </c>
      <c r="M19" s="307"/>
      <c r="N19" s="307"/>
      <c r="O19" s="307"/>
      <c r="P19" s="307"/>
      <c r="Q19" s="307"/>
      <c r="R19" s="307"/>
      <c r="S19" s="307"/>
    </row>
    <row r="20" spans="1:19" s="333" customFormat="1" ht="26.25">
      <c r="A20" s="737" t="s">
        <v>475</v>
      </c>
      <c r="B20" s="740">
        <v>2097791</v>
      </c>
      <c r="C20" s="739">
        <f t="shared" si="0"/>
        <v>2479277</v>
      </c>
      <c r="D20" s="740">
        <v>2226907</v>
      </c>
      <c r="E20" s="740">
        <v>252370</v>
      </c>
      <c r="F20" s="739">
        <f t="shared" si="1"/>
        <v>4577068</v>
      </c>
      <c r="G20" s="949">
        <f t="shared" si="5"/>
        <v>0.45832637837148149</v>
      </c>
      <c r="H20" s="949">
        <f t="shared" si="6"/>
        <v>0.54167362162851851</v>
      </c>
      <c r="I20" s="1406">
        <f t="shared" si="4"/>
        <v>1.1818512902381599</v>
      </c>
      <c r="J20" s="1407">
        <v>1.9443231147259318E-2</v>
      </c>
      <c r="M20" s="307"/>
      <c r="N20" s="307"/>
      <c r="O20" s="307"/>
      <c r="P20" s="307"/>
      <c r="Q20" s="307"/>
      <c r="R20" s="307"/>
      <c r="S20" s="307"/>
    </row>
    <row r="21" spans="1:19" s="333" customFormat="1" ht="26.25">
      <c r="A21" s="737" t="s">
        <v>476</v>
      </c>
      <c r="B21" s="740">
        <v>2155212</v>
      </c>
      <c r="C21" s="739">
        <f t="shared" si="0"/>
        <v>2544154</v>
      </c>
      <c r="D21" s="740">
        <v>2279808</v>
      </c>
      <c r="E21" s="740">
        <v>264346</v>
      </c>
      <c r="F21" s="739">
        <f>+B21+D21+E21</f>
        <v>4699366</v>
      </c>
      <c r="G21" s="949">
        <f t="shared" si="5"/>
        <v>0.45861760926899503</v>
      </c>
      <c r="H21" s="949">
        <f t="shared" si="6"/>
        <v>0.54138239073100503</v>
      </c>
      <c r="I21" s="1406">
        <f t="shared" si="4"/>
        <v>1.1804657732046777</v>
      </c>
      <c r="J21" s="1407">
        <v>1.94432311472593E-2</v>
      </c>
      <c r="M21" s="307"/>
      <c r="N21" s="307"/>
      <c r="O21" s="307"/>
      <c r="P21" s="307"/>
      <c r="Q21" s="307"/>
      <c r="R21" s="307"/>
      <c r="S21" s="307"/>
    </row>
    <row r="22" spans="1:19" ht="26.25">
      <c r="A22" s="737" t="str">
        <f>+'Resumen '!O6</f>
        <v>Abr.2025</v>
      </c>
      <c r="B22" s="740">
        <f>+'Resumen '!C26</f>
        <v>2191942</v>
      </c>
      <c r="C22" s="739">
        <f t="shared" si="0"/>
        <v>2558288</v>
      </c>
      <c r="D22" s="740">
        <f>+'Resumen '!C27</f>
        <v>2292413</v>
      </c>
      <c r="E22" s="740">
        <f>+'Resumen '!C28</f>
        <v>265875</v>
      </c>
      <c r="F22" s="739">
        <f t="shared" si="1"/>
        <v>4750230</v>
      </c>
      <c r="G22" s="949">
        <f t="shared" si="5"/>
        <v>0.46143913031579525</v>
      </c>
      <c r="H22" s="949">
        <f t="shared" si="6"/>
        <v>0.5385608696842048</v>
      </c>
      <c r="I22" s="1406">
        <f t="shared" si="4"/>
        <v>1.1671330719517214</v>
      </c>
      <c r="J22" s="1407">
        <v>1.94432311472593E-2</v>
      </c>
    </row>
    <row r="23" spans="1:19" ht="31.5" customHeight="1">
      <c r="A23" s="2111" t="s">
        <v>538</v>
      </c>
      <c r="B23" s="2111"/>
      <c r="C23" s="2111"/>
      <c r="D23" s="2111"/>
      <c r="E23" s="2111"/>
      <c r="F23" s="2111"/>
      <c r="G23" s="2111"/>
      <c r="H23" s="2111"/>
      <c r="I23" s="2112"/>
      <c r="J23" s="505"/>
    </row>
    <row r="24" spans="1:19" ht="25.5" customHeight="1">
      <c r="A24" s="503"/>
      <c r="B24" s="503"/>
      <c r="C24" s="503"/>
      <c r="D24" s="507"/>
      <c r="E24" s="507"/>
      <c r="F24" s="1329" t="e">
        <f>+#REF!/F20</f>
        <v>#REF!</v>
      </c>
      <c r="G24" s="503"/>
      <c r="H24" s="503"/>
      <c r="I24" s="391"/>
      <c r="J24" s="391"/>
    </row>
    <row r="25" spans="1:19" ht="25.5" customHeight="1">
      <c r="A25" s="503"/>
      <c r="B25" s="503"/>
      <c r="C25" s="503"/>
      <c r="D25" s="508"/>
      <c r="E25" s="508"/>
      <c r="F25" s="503"/>
      <c r="G25" s="503"/>
      <c r="H25" s="503"/>
      <c r="I25" s="391"/>
      <c r="J25" s="391"/>
    </row>
    <row r="26" spans="1:19" ht="25.5" customHeight="1">
      <c r="A26" s="503"/>
      <c r="B26" s="503"/>
      <c r="C26" s="503"/>
      <c r="D26" s="503"/>
      <c r="E26" s="503"/>
      <c r="F26" s="503"/>
      <c r="G26" s="503"/>
      <c r="H26" s="503"/>
      <c r="I26" s="391"/>
      <c r="J26" s="391"/>
    </row>
    <row r="27" spans="1:19" ht="25.5" customHeight="1">
      <c r="A27" s="503"/>
      <c r="B27" s="503"/>
      <c r="C27" s="503"/>
      <c r="D27" s="503"/>
      <c r="E27" s="503"/>
      <c r="F27" s="503"/>
      <c r="G27" s="503"/>
      <c r="H27" s="503"/>
      <c r="I27" s="391"/>
      <c r="J27" s="391"/>
    </row>
    <row r="28" spans="1:19" ht="25.5" customHeight="1">
      <c r="A28" s="503"/>
      <c r="B28" s="503"/>
      <c r="C28" s="503"/>
      <c r="D28" s="503"/>
      <c r="E28" s="503"/>
      <c r="F28" s="503"/>
      <c r="G28" s="503"/>
      <c r="H28" s="503"/>
      <c r="I28" s="391"/>
      <c r="J28" s="391"/>
    </row>
    <row r="29" spans="1:19" ht="25.5" customHeight="1">
      <c r="A29" s="391"/>
      <c r="B29" s="391"/>
      <c r="C29" s="391"/>
      <c r="D29" s="391"/>
      <c r="E29" s="391"/>
      <c r="F29" s="391"/>
      <c r="G29" s="391"/>
      <c r="H29" s="391"/>
      <c r="I29" s="391"/>
      <c r="J29" s="391"/>
    </row>
    <row r="30" spans="1:19" ht="25.5" customHeight="1">
      <c r="A30" s="391"/>
      <c r="B30" s="391"/>
      <c r="C30" s="391"/>
      <c r="D30" s="391"/>
      <c r="E30" s="391"/>
      <c r="F30" s="391"/>
      <c r="G30" s="391"/>
      <c r="H30" s="391"/>
      <c r="I30" s="391"/>
      <c r="J30" s="391"/>
    </row>
    <row r="31" spans="1:19" ht="25.5" customHeight="1">
      <c r="A31" s="391"/>
      <c r="B31" s="391"/>
      <c r="C31" s="391"/>
      <c r="D31" s="391"/>
      <c r="E31" s="391"/>
      <c r="F31" s="391"/>
      <c r="G31" s="391"/>
      <c r="H31" s="391"/>
      <c r="I31" s="391"/>
      <c r="J31" s="391"/>
    </row>
    <row r="32" spans="1:19" ht="25.5" customHeight="1">
      <c r="A32" s="391"/>
      <c r="B32" s="391"/>
      <c r="C32" s="391"/>
      <c r="D32" s="391"/>
      <c r="E32" s="391"/>
      <c r="F32" s="391"/>
      <c r="G32" s="391"/>
      <c r="H32" s="391"/>
      <c r="I32" s="391"/>
      <c r="J32" s="391"/>
    </row>
    <row r="33" spans="1:10" ht="25.5" customHeight="1">
      <c r="A33" s="391"/>
      <c r="B33" s="391"/>
      <c r="C33" s="391"/>
      <c r="D33" s="391"/>
      <c r="E33" s="391"/>
      <c r="F33" s="391"/>
      <c r="G33" s="391"/>
      <c r="H33" s="391"/>
      <c r="I33" s="391"/>
      <c r="J33" s="391"/>
    </row>
    <row r="34" spans="1:10" ht="25.5" customHeight="1">
      <c r="A34" s="391"/>
      <c r="B34" s="391"/>
      <c r="C34" s="391"/>
      <c r="D34" s="391"/>
      <c r="E34" s="391"/>
      <c r="F34" s="391"/>
      <c r="G34" s="391"/>
      <c r="H34" s="391"/>
      <c r="I34" s="391"/>
    </row>
    <row r="35" spans="1:10" ht="25.5" customHeight="1">
      <c r="A35" s="391"/>
      <c r="B35" s="391"/>
      <c r="C35" s="391"/>
      <c r="D35" s="391"/>
      <c r="E35" s="391"/>
      <c r="F35" s="391"/>
      <c r="G35" s="391"/>
      <c r="H35" s="391"/>
      <c r="I35" s="391"/>
    </row>
    <row r="36" spans="1:10" ht="25.5" customHeight="1">
      <c r="A36" s="391"/>
      <c r="B36" s="391"/>
      <c r="C36" s="391"/>
      <c r="D36" s="391"/>
      <c r="E36" s="391"/>
      <c r="F36" s="391"/>
      <c r="G36" s="391"/>
      <c r="H36" s="391"/>
      <c r="I36" s="391"/>
    </row>
    <row r="37" spans="1:10" ht="25.5" customHeight="1">
      <c r="A37" s="391"/>
      <c r="B37" s="391"/>
      <c r="C37" s="391"/>
      <c r="D37" s="391"/>
      <c r="E37" s="391"/>
      <c r="F37" s="391"/>
      <c r="G37" s="391"/>
      <c r="H37" s="391"/>
      <c r="I37" s="391"/>
    </row>
    <row r="38" spans="1:10" ht="25.5" customHeight="1">
      <c r="A38" s="391"/>
      <c r="B38" s="391"/>
      <c r="C38" s="391"/>
      <c r="D38" s="391"/>
      <c r="E38" s="391"/>
      <c r="F38" s="391"/>
      <c r="G38" s="391"/>
      <c r="H38" s="391"/>
    </row>
    <row r="39" spans="1:10" ht="25.5" customHeight="1">
      <c r="A39" s="391"/>
      <c r="B39" s="391"/>
      <c r="C39" s="391"/>
      <c r="D39" s="391"/>
      <c r="E39" s="391"/>
      <c r="F39" s="391"/>
      <c r="G39" s="391"/>
      <c r="H39" s="391"/>
      <c r="J39" s="481"/>
    </row>
    <row r="40" spans="1:10" ht="25.5" customHeight="1">
      <c r="A40" s="391"/>
      <c r="B40" s="391"/>
      <c r="C40" s="391"/>
      <c r="D40" s="391"/>
      <c r="E40" s="391"/>
      <c r="F40" s="391"/>
      <c r="G40" s="391"/>
      <c r="H40" s="391"/>
    </row>
    <row r="41" spans="1:10" ht="25.5" customHeight="1">
      <c r="A41" s="391"/>
      <c r="B41" s="391"/>
      <c r="C41" s="391"/>
      <c r="D41" s="391"/>
      <c r="E41" s="391"/>
      <c r="F41" s="391"/>
      <c r="G41" s="391"/>
      <c r="H41" s="391"/>
    </row>
    <row r="42" spans="1:10" ht="25.5" customHeight="1">
      <c r="A42" s="391"/>
      <c r="B42" s="391"/>
      <c r="C42" s="391"/>
      <c r="D42" s="391"/>
      <c r="E42" s="391"/>
      <c r="F42" s="391"/>
      <c r="G42" s="391"/>
      <c r="H42" s="391"/>
    </row>
    <row r="43" spans="1:10" ht="23.25">
      <c r="A43" s="391"/>
      <c r="B43" s="391"/>
      <c r="C43" s="391"/>
      <c r="D43" s="391"/>
      <c r="E43" s="391"/>
      <c r="F43" s="391"/>
      <c r="G43" s="391"/>
      <c r="H43" s="391"/>
      <c r="I43" s="481"/>
    </row>
    <row r="44" spans="1:10">
      <c r="A44" s="391"/>
      <c r="B44" s="391"/>
      <c r="C44" s="391"/>
      <c r="D44" s="391"/>
      <c r="E44" s="391"/>
      <c r="F44" s="391"/>
      <c r="G44" s="391"/>
      <c r="H44" s="391"/>
    </row>
    <row r="45" spans="1:10">
      <c r="A45" s="391"/>
      <c r="B45" s="391"/>
      <c r="C45" s="391"/>
      <c r="D45" s="391"/>
      <c r="E45" s="391"/>
      <c r="F45" s="391"/>
      <c r="G45" s="391"/>
      <c r="H45" s="391"/>
    </row>
    <row r="46" spans="1:10">
      <c r="A46" s="391"/>
      <c r="B46" s="391"/>
      <c r="C46" s="391"/>
      <c r="D46" s="391"/>
      <c r="E46" s="391"/>
      <c r="F46" s="391"/>
      <c r="G46" s="391"/>
      <c r="H46" s="391"/>
    </row>
    <row r="47" spans="1:10" ht="51" customHeight="1"/>
    <row r="48" spans="1:10" ht="78" customHeight="1"/>
    <row r="52" spans="1:8" ht="23.25">
      <c r="A52" s="481"/>
      <c r="B52" s="481"/>
      <c r="C52" s="481"/>
      <c r="D52" s="481"/>
      <c r="E52" s="481"/>
      <c r="F52" s="481"/>
      <c r="G52" s="481"/>
      <c r="H52" s="481"/>
    </row>
    <row r="142" spans="3:3">
      <c r="C142" s="307">
        <f>C140</f>
        <v>0</v>
      </c>
    </row>
  </sheetData>
  <mergeCells count="3">
    <mergeCell ref="A23:I23"/>
    <mergeCell ref="A1:J1"/>
    <mergeCell ref="A2:J2"/>
  </mergeCells>
  <conditionalFormatting sqref="B22 D22:E22">
    <cfRule type="cellIs" dxfId="656" priority="13" operator="equal">
      <formula>0</formula>
    </cfRule>
    <cfRule type="cellIs" dxfId="655" priority="16" operator="equal">
      <formula>0</formula>
    </cfRule>
  </conditionalFormatting>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2">
    <tabColor theme="6" tint="-0.249977111117893"/>
    <pageSetUpPr fitToPage="1"/>
  </sheetPr>
  <dimension ref="A1:Q41"/>
  <sheetViews>
    <sheetView showGridLines="0" view="pageBreakPreview" zoomScale="55" zoomScaleNormal="100" zoomScaleSheetLayoutView="55" zoomScalePageLayoutView="62" workbookViewId="0">
      <selection activeCell="P32" sqref="P32"/>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2118" t="s">
        <v>539</v>
      </c>
      <c r="B1" s="2118"/>
      <c r="C1" s="2118"/>
      <c r="D1" s="2118"/>
      <c r="E1" s="2118"/>
      <c r="F1" s="2118"/>
      <c r="G1" s="2118"/>
      <c r="H1" s="2118"/>
      <c r="I1" s="2118"/>
      <c r="J1" s="2118"/>
      <c r="K1" s="2118"/>
      <c r="L1" s="2118"/>
    </row>
    <row r="2" spans="1:12" ht="38.25" customHeight="1">
      <c r="A2" s="2119" t="str">
        <f>+'Resumen '!O4</f>
        <v>Período:  Diciembre 2008 - Abril 2025</v>
      </c>
      <c r="B2" s="2119"/>
      <c r="C2" s="2119"/>
      <c r="D2" s="2119"/>
      <c r="E2" s="2119"/>
      <c r="F2" s="2119"/>
      <c r="G2" s="2119"/>
      <c r="H2" s="2119"/>
      <c r="I2" s="2119"/>
      <c r="J2" s="2119"/>
      <c r="K2" s="2119"/>
      <c r="L2" s="2119"/>
    </row>
    <row r="3" spans="1:12" ht="17.25" customHeight="1">
      <c r="A3" s="74"/>
      <c r="B3" s="74"/>
      <c r="C3" s="74"/>
      <c r="D3" s="74"/>
      <c r="E3" s="74"/>
      <c r="F3" s="74"/>
      <c r="G3" s="74"/>
      <c r="H3" s="74"/>
      <c r="I3" s="74"/>
      <c r="J3" s="74"/>
      <c r="K3" s="74"/>
      <c r="L3" s="74"/>
    </row>
    <row r="4" spans="1:12" s="757" customFormat="1" ht="36">
      <c r="A4" s="1433" t="s">
        <v>262</v>
      </c>
      <c r="B4" s="1153" t="s">
        <v>540</v>
      </c>
      <c r="C4" s="1434" t="s">
        <v>541</v>
      </c>
      <c r="D4" s="1434" t="s">
        <v>542</v>
      </c>
      <c r="E4" s="1434" t="s">
        <v>543</v>
      </c>
      <c r="F4" s="1153" t="s">
        <v>544</v>
      </c>
      <c r="G4" s="1153" t="s">
        <v>545</v>
      </c>
      <c r="H4" s="1434" t="s">
        <v>546</v>
      </c>
      <c r="I4" s="1434" t="s">
        <v>547</v>
      </c>
      <c r="J4" s="1434" t="s">
        <v>548</v>
      </c>
      <c r="K4" s="1153" t="s">
        <v>549</v>
      </c>
      <c r="L4" s="1435" t="s">
        <v>550</v>
      </c>
    </row>
    <row r="5" spans="1:12" s="758" customFormat="1" ht="21" customHeight="1">
      <c r="A5" s="1436" t="s">
        <v>520</v>
      </c>
      <c r="B5" s="1437">
        <v>554588</v>
      </c>
      <c r="C5" s="1437">
        <v>330370</v>
      </c>
      <c r="D5" s="1437">
        <v>5444</v>
      </c>
      <c r="E5" s="1437">
        <f>+D5+C5</f>
        <v>335814</v>
      </c>
      <c r="F5" s="1438">
        <f t="shared" ref="F5:F22" si="0">B5+C5+D5</f>
        <v>890402</v>
      </c>
      <c r="G5" s="1437">
        <v>411558</v>
      </c>
      <c r="H5" s="1437">
        <v>376958</v>
      </c>
      <c r="I5" s="1437">
        <v>13341</v>
      </c>
      <c r="J5" s="1437">
        <f>+I5+H5</f>
        <v>390299</v>
      </c>
      <c r="K5" s="1438">
        <f t="shared" ref="K5:K11" si="1">G5+H5+I5</f>
        <v>801857</v>
      </c>
      <c r="L5" s="1439">
        <f t="shared" ref="L5:L11" si="2">F5+K5</f>
        <v>1692259</v>
      </c>
    </row>
    <row r="6" spans="1:12" s="758" customFormat="1" ht="21" customHeight="1">
      <c r="A6" s="1440" t="s">
        <v>521</v>
      </c>
      <c r="B6" s="1437">
        <v>621549</v>
      </c>
      <c r="C6" s="1437">
        <v>444129</v>
      </c>
      <c r="D6" s="1437">
        <v>13199</v>
      </c>
      <c r="E6" s="1437">
        <f t="shared" ref="E6:E18" si="3">+D6+C6</f>
        <v>457328</v>
      </c>
      <c r="F6" s="1438">
        <f t="shared" si="0"/>
        <v>1078877</v>
      </c>
      <c r="G6" s="1437">
        <v>458053</v>
      </c>
      <c r="H6" s="1437">
        <v>518280</v>
      </c>
      <c r="I6" s="1437">
        <v>33089</v>
      </c>
      <c r="J6" s="1437">
        <f t="shared" ref="J6:J18" si="4">+I6+H6</f>
        <v>551369</v>
      </c>
      <c r="K6" s="1438">
        <f t="shared" si="1"/>
        <v>1009422</v>
      </c>
      <c r="L6" s="1439">
        <f t="shared" si="2"/>
        <v>2088299</v>
      </c>
    </row>
    <row r="7" spans="1:12" s="758" customFormat="1" ht="21" customHeight="1">
      <c r="A7" s="1436" t="s">
        <v>522</v>
      </c>
      <c r="B7" s="1437">
        <v>666490</v>
      </c>
      <c r="C7" s="1437">
        <v>523408</v>
      </c>
      <c r="D7" s="1437">
        <v>20284</v>
      </c>
      <c r="E7" s="1437">
        <f t="shared" si="3"/>
        <v>543692</v>
      </c>
      <c r="F7" s="1438">
        <f t="shared" si="0"/>
        <v>1210182</v>
      </c>
      <c r="G7" s="1437">
        <v>486371</v>
      </c>
      <c r="H7" s="1437">
        <v>617395</v>
      </c>
      <c r="I7" s="1437">
        <v>50135</v>
      </c>
      <c r="J7" s="1437">
        <f t="shared" si="4"/>
        <v>667530</v>
      </c>
      <c r="K7" s="1438">
        <f t="shared" si="1"/>
        <v>1153901</v>
      </c>
      <c r="L7" s="1439">
        <f t="shared" si="2"/>
        <v>2364083</v>
      </c>
    </row>
    <row r="8" spans="1:12" s="758" customFormat="1" ht="21" customHeight="1">
      <c r="A8" s="1440" t="s">
        <v>525</v>
      </c>
      <c r="B8" s="1437">
        <v>688507</v>
      </c>
      <c r="C8" s="1437">
        <v>563079</v>
      </c>
      <c r="D8" s="1437">
        <v>27872</v>
      </c>
      <c r="E8" s="1437">
        <f t="shared" si="3"/>
        <v>590951</v>
      </c>
      <c r="F8" s="1438">
        <f t="shared" si="0"/>
        <v>1279458</v>
      </c>
      <c r="G8" s="1437">
        <v>499838</v>
      </c>
      <c r="H8" s="1437">
        <v>670940</v>
      </c>
      <c r="I8" s="1437">
        <v>67187</v>
      </c>
      <c r="J8" s="1437">
        <f t="shared" si="4"/>
        <v>738127</v>
      </c>
      <c r="K8" s="1438">
        <f t="shared" si="1"/>
        <v>1237965</v>
      </c>
      <c r="L8" s="1439">
        <f t="shared" si="2"/>
        <v>2517423</v>
      </c>
    </row>
    <row r="9" spans="1:12" s="758" customFormat="1" ht="21" customHeight="1">
      <c r="A9" s="1436" t="s">
        <v>526</v>
      </c>
      <c r="B9" s="1437">
        <v>719477</v>
      </c>
      <c r="C9" s="1437">
        <v>607781</v>
      </c>
      <c r="D9" s="1437">
        <v>33530</v>
      </c>
      <c r="E9" s="1437">
        <f t="shared" si="3"/>
        <v>641311</v>
      </c>
      <c r="F9" s="1438">
        <f t="shared" si="0"/>
        <v>1360788</v>
      </c>
      <c r="G9" s="1437">
        <v>523353</v>
      </c>
      <c r="H9" s="1437">
        <v>724697</v>
      </c>
      <c r="I9" s="1437">
        <v>79573</v>
      </c>
      <c r="J9" s="1437">
        <f t="shared" si="4"/>
        <v>804270</v>
      </c>
      <c r="K9" s="1438">
        <f t="shared" si="1"/>
        <v>1327623</v>
      </c>
      <c r="L9" s="1439">
        <f t="shared" si="2"/>
        <v>2688411</v>
      </c>
    </row>
    <row r="10" spans="1:12" s="758" customFormat="1" ht="21" customHeight="1">
      <c r="A10" s="1440" t="s">
        <v>527</v>
      </c>
      <c r="B10" s="1437">
        <v>761550</v>
      </c>
      <c r="C10" s="1437">
        <v>660882</v>
      </c>
      <c r="D10" s="1437">
        <v>39966</v>
      </c>
      <c r="E10" s="1437">
        <f t="shared" si="3"/>
        <v>700848</v>
      </c>
      <c r="F10" s="1438">
        <f t="shared" si="0"/>
        <v>1462398</v>
      </c>
      <c r="G10" s="1437">
        <v>557229</v>
      </c>
      <c r="H10" s="1437">
        <v>788545</v>
      </c>
      <c r="I10" s="1437">
        <v>92804</v>
      </c>
      <c r="J10" s="1437">
        <f t="shared" si="4"/>
        <v>881349</v>
      </c>
      <c r="K10" s="1438">
        <f t="shared" si="1"/>
        <v>1438578</v>
      </c>
      <c r="L10" s="1439">
        <f t="shared" si="2"/>
        <v>2900976</v>
      </c>
    </row>
    <row r="11" spans="1:12" s="758" customFormat="1" ht="21" customHeight="1">
      <c r="A11" s="1436" t="s">
        <v>528</v>
      </c>
      <c r="B11" s="1437">
        <v>816912</v>
      </c>
      <c r="C11" s="1437">
        <v>715603</v>
      </c>
      <c r="D11" s="1437">
        <v>45810</v>
      </c>
      <c r="E11" s="1437">
        <f t="shared" si="3"/>
        <v>761413</v>
      </c>
      <c r="F11" s="1438">
        <f t="shared" si="0"/>
        <v>1578325</v>
      </c>
      <c r="G11" s="1437">
        <v>606074</v>
      </c>
      <c r="H11" s="1437">
        <v>852938</v>
      </c>
      <c r="I11" s="1437">
        <v>104262</v>
      </c>
      <c r="J11" s="1437">
        <f t="shared" si="4"/>
        <v>957200</v>
      </c>
      <c r="K11" s="1438">
        <f t="shared" si="1"/>
        <v>1563274</v>
      </c>
      <c r="L11" s="1439">
        <f t="shared" si="2"/>
        <v>3141599</v>
      </c>
    </row>
    <row r="12" spans="1:12" s="758" customFormat="1" ht="21" customHeight="1">
      <c r="A12" s="1440" t="s">
        <v>531</v>
      </c>
      <c r="B12" s="1437">
        <v>866421</v>
      </c>
      <c r="C12" s="1437">
        <v>753051</v>
      </c>
      <c r="D12" s="1437">
        <v>55339</v>
      </c>
      <c r="E12" s="1437">
        <f t="shared" si="3"/>
        <v>808390</v>
      </c>
      <c r="F12" s="1438">
        <f t="shared" si="0"/>
        <v>1674811</v>
      </c>
      <c r="G12" s="1437">
        <v>647213</v>
      </c>
      <c r="H12" s="1437">
        <v>896356</v>
      </c>
      <c r="I12" s="1437">
        <v>121458</v>
      </c>
      <c r="J12" s="1437">
        <f t="shared" si="4"/>
        <v>1017814</v>
      </c>
      <c r="K12" s="1438">
        <f>G12+H12+I12</f>
        <v>1665027</v>
      </c>
      <c r="L12" s="1439">
        <f>F12+K12</f>
        <v>3339838</v>
      </c>
    </row>
    <row r="13" spans="1:12" s="758" customFormat="1" ht="21" customHeight="1">
      <c r="A13" s="1436" t="s">
        <v>533</v>
      </c>
      <c r="B13" s="1437">
        <v>934645</v>
      </c>
      <c r="C13" s="1437">
        <v>814654</v>
      </c>
      <c r="D13" s="1437">
        <v>59951</v>
      </c>
      <c r="E13" s="1437">
        <f t="shared" si="3"/>
        <v>874605</v>
      </c>
      <c r="F13" s="1438">
        <f t="shared" si="0"/>
        <v>1809250</v>
      </c>
      <c r="G13" s="1437">
        <v>685025</v>
      </c>
      <c r="H13" s="1437">
        <v>966760</v>
      </c>
      <c r="I13" s="1437">
        <v>130253</v>
      </c>
      <c r="J13" s="1437">
        <f t="shared" si="4"/>
        <v>1097013</v>
      </c>
      <c r="K13" s="1438">
        <f>G13+H13+I13</f>
        <v>1782038</v>
      </c>
      <c r="L13" s="1439">
        <f>F13+K13</f>
        <v>3591288</v>
      </c>
    </row>
    <row r="14" spans="1:12" s="758" customFormat="1" ht="21" customHeight="1">
      <c r="A14" s="1440" t="s">
        <v>535</v>
      </c>
      <c r="B14" s="1437">
        <v>1031680</v>
      </c>
      <c r="C14" s="1437">
        <v>881411</v>
      </c>
      <c r="D14" s="1437">
        <v>64075</v>
      </c>
      <c r="E14" s="1437">
        <f t="shared" si="3"/>
        <v>945486</v>
      </c>
      <c r="F14" s="1438">
        <f t="shared" si="0"/>
        <v>1977166</v>
      </c>
      <c r="G14" s="1437">
        <v>734397</v>
      </c>
      <c r="H14" s="1437">
        <v>1051585</v>
      </c>
      <c r="I14" s="1437">
        <v>139444</v>
      </c>
      <c r="J14" s="1437">
        <f t="shared" si="4"/>
        <v>1191029</v>
      </c>
      <c r="K14" s="1438">
        <f>G14+H14+I14</f>
        <v>1925426</v>
      </c>
      <c r="L14" s="1439">
        <f>F14+K14</f>
        <v>3902592</v>
      </c>
    </row>
    <row r="15" spans="1:12" s="758" customFormat="1" ht="21" customHeight="1">
      <c r="A15" s="1436" t="s">
        <v>470</v>
      </c>
      <c r="B15" s="1437">
        <v>1080694</v>
      </c>
      <c r="C15" s="1437">
        <v>946191</v>
      </c>
      <c r="D15" s="1437">
        <v>69295</v>
      </c>
      <c r="E15" s="1437">
        <f t="shared" si="3"/>
        <v>1015486</v>
      </c>
      <c r="F15" s="1438">
        <f t="shared" si="0"/>
        <v>2096180</v>
      </c>
      <c r="G15" s="1437">
        <v>778665</v>
      </c>
      <c r="H15" s="1437">
        <v>1128712</v>
      </c>
      <c r="I15" s="1437">
        <v>150430</v>
      </c>
      <c r="J15" s="1437">
        <f t="shared" si="4"/>
        <v>1279142</v>
      </c>
      <c r="K15" s="1438">
        <f>G15+H15+I15</f>
        <v>2057807</v>
      </c>
      <c r="L15" s="1439">
        <f>F15+K15</f>
        <v>4153987</v>
      </c>
    </row>
    <row r="16" spans="1:12" s="758" customFormat="1" ht="21" customHeight="1">
      <c r="A16" s="1440" t="s">
        <v>471</v>
      </c>
      <c r="B16" s="1437">
        <v>1092969</v>
      </c>
      <c r="C16" s="1437">
        <v>962084</v>
      </c>
      <c r="D16" s="1437">
        <v>71337</v>
      </c>
      <c r="E16" s="1437">
        <f t="shared" si="3"/>
        <v>1033421</v>
      </c>
      <c r="F16" s="1438">
        <f t="shared" si="0"/>
        <v>2126390</v>
      </c>
      <c r="G16" s="1437">
        <v>798437</v>
      </c>
      <c r="H16" s="1437">
        <v>1150123</v>
      </c>
      <c r="I16" s="1437">
        <v>153711</v>
      </c>
      <c r="J16" s="1437">
        <f t="shared" si="4"/>
        <v>1303834</v>
      </c>
      <c r="K16" s="1438">
        <f t="shared" ref="K16:K22" si="5">G16+H16+I16</f>
        <v>2102271</v>
      </c>
      <c r="L16" s="1439">
        <f t="shared" ref="L16:L22" si="6">F16+K16</f>
        <v>4228661</v>
      </c>
    </row>
    <row r="17" spans="1:17" s="758" customFormat="1" ht="21" customHeight="1">
      <c r="A17" s="1436" t="s">
        <v>472</v>
      </c>
      <c r="B17" s="1437">
        <v>1057677</v>
      </c>
      <c r="C17" s="1437">
        <v>978451</v>
      </c>
      <c r="D17" s="1437">
        <v>71558</v>
      </c>
      <c r="E17" s="1437">
        <f t="shared" si="3"/>
        <v>1050009</v>
      </c>
      <c r="F17" s="1438">
        <f t="shared" si="0"/>
        <v>2107686</v>
      </c>
      <c r="G17" s="1437">
        <v>790314</v>
      </c>
      <c r="H17" s="1437">
        <v>1162090</v>
      </c>
      <c r="I17" s="1437">
        <v>154813</v>
      </c>
      <c r="J17" s="1437">
        <f t="shared" si="4"/>
        <v>1316903</v>
      </c>
      <c r="K17" s="1438">
        <f t="shared" si="5"/>
        <v>2107217</v>
      </c>
      <c r="L17" s="1439">
        <f t="shared" si="6"/>
        <v>4214903</v>
      </c>
    </row>
    <row r="18" spans="1:17" s="758" customFormat="1" ht="21" customHeight="1">
      <c r="A18" s="1436" t="s">
        <v>473</v>
      </c>
      <c r="B18" s="1437">
        <v>1101179</v>
      </c>
      <c r="C18" s="1437">
        <v>965089</v>
      </c>
      <c r="D18" s="1437">
        <v>74653</v>
      </c>
      <c r="E18" s="1437">
        <f t="shared" si="3"/>
        <v>1039742</v>
      </c>
      <c r="F18" s="1438">
        <f t="shared" si="0"/>
        <v>2140921</v>
      </c>
      <c r="G18" s="1437">
        <v>827084</v>
      </c>
      <c r="H18" s="1437">
        <v>1155297</v>
      </c>
      <c r="I18" s="1437">
        <v>162057</v>
      </c>
      <c r="J18" s="1437">
        <f t="shared" si="4"/>
        <v>1317354</v>
      </c>
      <c r="K18" s="1438">
        <f t="shared" si="5"/>
        <v>2144438</v>
      </c>
      <c r="L18" s="1439">
        <f t="shared" si="6"/>
        <v>4285359</v>
      </c>
    </row>
    <row r="19" spans="1:17" s="758" customFormat="1" ht="21" customHeight="1">
      <c r="A19" s="1436" t="s">
        <v>474</v>
      </c>
      <c r="B19" s="1437">
        <v>1177304</v>
      </c>
      <c r="C19" s="1437">
        <v>1023415</v>
      </c>
      <c r="D19" s="1437">
        <v>77648</v>
      </c>
      <c r="E19" s="1441">
        <v>1101063</v>
      </c>
      <c r="F19" s="1438">
        <f t="shared" si="0"/>
        <v>2278367</v>
      </c>
      <c r="G19" s="1437">
        <v>903493</v>
      </c>
      <c r="H19" s="1437">
        <v>1218211</v>
      </c>
      <c r="I19" s="1437">
        <v>168839</v>
      </c>
      <c r="J19" s="1437">
        <v>1387050</v>
      </c>
      <c r="K19" s="1438">
        <f t="shared" si="5"/>
        <v>2290543</v>
      </c>
      <c r="L19" s="1439">
        <f t="shared" si="6"/>
        <v>4568910</v>
      </c>
    </row>
    <row r="20" spans="1:17" s="758" customFormat="1" ht="21" customHeight="1">
      <c r="A20" s="1436" t="s">
        <v>475</v>
      </c>
      <c r="B20" s="1441">
        <v>1191357</v>
      </c>
      <c r="C20" s="1441">
        <v>1014199</v>
      </c>
      <c r="D20" s="1441">
        <v>79364</v>
      </c>
      <c r="E20" s="1441">
        <v>1093563</v>
      </c>
      <c r="F20" s="1438">
        <f t="shared" si="0"/>
        <v>2284920</v>
      </c>
      <c r="G20" s="1441">
        <v>906434</v>
      </c>
      <c r="H20" s="1441">
        <v>1212708</v>
      </c>
      <c r="I20" s="1441">
        <v>173006</v>
      </c>
      <c r="J20" s="1441">
        <v>1385714</v>
      </c>
      <c r="K20" s="1438">
        <f t="shared" si="5"/>
        <v>2292148</v>
      </c>
      <c r="L20" s="1439">
        <f t="shared" si="6"/>
        <v>4577068</v>
      </c>
    </row>
    <row r="21" spans="1:17" s="758" customFormat="1" ht="21" customHeight="1">
      <c r="A21" s="1436" t="s">
        <v>476</v>
      </c>
      <c r="B21" s="1441">
        <v>1212226</v>
      </c>
      <c r="C21" s="1441">
        <v>1043047</v>
      </c>
      <c r="D21" s="1441">
        <v>83183</v>
      </c>
      <c r="E21" s="1441">
        <v>1126230</v>
      </c>
      <c r="F21" s="1438">
        <f>B21+C21+D21</f>
        <v>2338456</v>
      </c>
      <c r="G21" s="1441">
        <v>942986</v>
      </c>
      <c r="H21" s="1441">
        <v>1236761</v>
      </c>
      <c r="I21" s="1441">
        <v>181163</v>
      </c>
      <c r="J21" s="1441">
        <v>1417924</v>
      </c>
      <c r="K21" s="1438">
        <f>G21+H21+I21</f>
        <v>2360910</v>
      </c>
      <c r="L21" s="1439">
        <f>F21+K21</f>
        <v>4699366</v>
      </c>
    </row>
    <row r="22" spans="1:17" s="758" customFormat="1" ht="21" customHeight="1">
      <c r="A22" s="1440" t="str">
        <f>+'Resumen '!O6</f>
        <v>Abr.2025</v>
      </c>
      <c r="B22" s="1441">
        <f>+'Resumen '!D26</f>
        <v>1231096</v>
      </c>
      <c r="C22" s="1441">
        <f>+'Resumen '!D27</f>
        <v>1047184</v>
      </c>
      <c r="D22" s="1441">
        <f>+'Resumen '!D28</f>
        <v>83720</v>
      </c>
      <c r="E22" s="1441">
        <f>+Tabla10[[#This Row],[Dep-Dir-Masc]]+Tabla10[[#This Row],[Dep_Adic-Masc]]</f>
        <v>1130904</v>
      </c>
      <c r="F22" s="1438">
        <f t="shared" si="0"/>
        <v>2362000</v>
      </c>
      <c r="G22" s="1441">
        <f>+'Resumen '!E26</f>
        <v>960846</v>
      </c>
      <c r="H22" s="1441">
        <f>+'Resumen '!E27</f>
        <v>1245229</v>
      </c>
      <c r="I22" s="1441">
        <f>+'Resumen '!E28</f>
        <v>182155</v>
      </c>
      <c r="J22" s="1441">
        <f>+Tabla10[[#This Row],[Dep-Dir-Fem]]+Tabla10[[#This Row],[Dep_Adic-Fem]]</f>
        <v>1427384</v>
      </c>
      <c r="K22" s="1438">
        <f t="shared" si="5"/>
        <v>2388230</v>
      </c>
      <c r="L22" s="1439">
        <f t="shared" si="6"/>
        <v>4750230</v>
      </c>
      <c r="M22" s="889">
        <f>+Tabla10[[#This Row],[Total Afiliados SFS RC]]-'Resumen '!C30</f>
        <v>0</v>
      </c>
      <c r="N22" s="1199"/>
    </row>
    <row r="23" spans="1:17" ht="30.75" customHeight="1">
      <c r="A23" s="2117" t="s">
        <v>551</v>
      </c>
      <c r="B23" s="2117"/>
      <c r="C23" s="2117"/>
      <c r="D23" s="2117"/>
      <c r="E23" s="2117"/>
      <c r="F23" s="2117"/>
      <c r="G23" s="2117"/>
      <c r="H23" s="2117"/>
      <c r="I23" s="2117"/>
      <c r="J23" s="2117"/>
      <c r="K23" s="2117"/>
      <c r="L23" s="2117"/>
      <c r="N23">
        <f>+L22-'III.2.2. Afil. SFS RC Anual '!F22</f>
        <v>0</v>
      </c>
      <c r="P23" s="758"/>
    </row>
    <row r="24" spans="1:17" ht="25.5" customHeight="1">
      <c r="A24" s="11"/>
      <c r="B24" s="11"/>
      <c r="C24" s="11"/>
      <c r="D24" s="11"/>
      <c r="E24" s="11"/>
      <c r="F24" s="11"/>
      <c r="G24" s="11"/>
      <c r="H24" s="11"/>
      <c r="I24" s="11"/>
      <c r="J24" s="11"/>
      <c r="L24" s="11"/>
      <c r="Q24" s="758"/>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8"/>
      <c r="B41" s="88"/>
      <c r="C41" s="88"/>
      <c r="D41" s="88"/>
      <c r="E41" s="88"/>
      <c r="F41" s="88"/>
      <c r="G41" s="88"/>
      <c r="H41" s="88"/>
      <c r="I41" s="88"/>
      <c r="J41" s="88"/>
      <c r="K41" s="88"/>
      <c r="L41" s="88"/>
    </row>
  </sheetData>
  <mergeCells count="3">
    <mergeCell ref="A23:L23"/>
    <mergeCell ref="A1:L1"/>
    <mergeCell ref="A2:L2"/>
  </mergeCells>
  <conditionalFormatting sqref="B22:D22 G22:I22">
    <cfRule type="cellIs" dxfId="639" priority="2" operator="equal">
      <formula>0</formula>
    </cfRule>
  </conditionalFormatting>
  <conditionalFormatting sqref="B21:D21">
    <cfRule type="cellIs" dxfId="638"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3">
    <tabColor theme="9" tint="-0.249977111117893"/>
    <pageSetUpPr fitToPage="1"/>
  </sheetPr>
  <dimension ref="A1"/>
  <sheetViews>
    <sheetView showGridLines="0" view="pageBreakPreview" zoomScaleNormal="100" zoomScaleSheetLayoutView="100" workbookViewId="0">
      <selection activeCell="Q31" sqref="Q31"/>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4">
    <tabColor theme="9" tint="-0.249977111117893"/>
    <pageSetUpPr fitToPage="1"/>
  </sheetPr>
  <dimension ref="A5:X42"/>
  <sheetViews>
    <sheetView showGridLines="0" view="pageBreakPreview" zoomScale="40" zoomScaleNormal="100" zoomScaleSheetLayoutView="40" workbookViewId="0">
      <selection activeCell="M28" sqref="M28"/>
    </sheetView>
  </sheetViews>
  <sheetFormatPr defaultColWidth="11.42578125" defaultRowHeight="3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2" width="40" style="1076" customWidth="1"/>
    <col min="13" max="13" width="33.5703125" style="1076" customWidth="1"/>
    <col min="14" max="14" width="41.7109375" style="1076" customWidth="1"/>
    <col min="15" max="17" width="27.140625" style="1076" customWidth="1"/>
    <col min="18" max="18" width="28.28515625" style="64" customWidth="1"/>
    <col min="19" max="21" width="11.42578125" style="64"/>
    <col min="22" max="22" width="11.42578125" style="79"/>
    <col min="23" max="23" width="16.28515625" style="79" bestFit="1" customWidth="1"/>
  </cols>
  <sheetData>
    <row r="5" spans="1:19" ht="61.5" customHeight="1">
      <c r="A5" s="2124" t="s">
        <v>552</v>
      </c>
      <c r="B5" s="2124"/>
      <c r="C5" s="2124"/>
      <c r="D5" s="2124"/>
      <c r="E5" s="2124"/>
      <c r="F5" s="2124"/>
      <c r="G5" s="2124"/>
      <c r="H5" s="2124"/>
      <c r="I5" s="2124"/>
      <c r="J5" s="2124"/>
    </row>
    <row r="6" spans="1:19" ht="78.75" customHeight="1">
      <c r="A6" s="2124"/>
      <c r="B6" s="2124"/>
      <c r="C6" s="2124"/>
      <c r="D6" s="2124"/>
      <c r="E6" s="2124"/>
      <c r="F6" s="2124"/>
      <c r="G6" s="2124"/>
      <c r="H6" s="2124"/>
      <c r="I6" s="2124"/>
      <c r="J6" s="2124"/>
    </row>
    <row r="7" spans="1:19" ht="31.5" customHeight="1">
      <c r="A7" s="2124"/>
      <c r="B7" s="2124"/>
      <c r="C7" s="2124"/>
      <c r="D7" s="2124"/>
      <c r="E7" s="2124"/>
      <c r="F7" s="2124"/>
      <c r="G7" s="2124"/>
      <c r="H7" s="2124"/>
      <c r="I7" s="2124"/>
      <c r="J7" s="2124"/>
    </row>
    <row r="8" spans="1:19" ht="31.5" customHeight="1">
      <c r="A8" s="2124"/>
      <c r="B8" s="2124"/>
      <c r="C8" s="2124"/>
      <c r="D8" s="2124"/>
      <c r="E8" s="2124"/>
      <c r="F8" s="2124"/>
      <c r="G8" s="2124"/>
      <c r="H8" s="2124"/>
      <c r="I8" s="2124"/>
      <c r="J8" s="2124"/>
    </row>
    <row r="9" spans="1:19" ht="31.5" customHeight="1">
      <c r="A9" s="2124"/>
      <c r="B9" s="2124"/>
      <c r="C9" s="2124"/>
      <c r="D9" s="2124"/>
      <c r="E9" s="2124"/>
      <c r="F9" s="2124"/>
      <c r="G9" s="2124"/>
      <c r="H9" s="2124"/>
      <c r="I9" s="2124"/>
      <c r="J9" s="2124"/>
      <c r="L9" s="1077" t="str">
        <f>+'III.3.2. Afil anual SFS RS '!C4</f>
        <v xml:space="preserve">Afiliados Titulares </v>
      </c>
      <c r="M9" s="1077" t="str">
        <f>+Tabla12[[#Headers],[Afiliados Dependientes ]]</f>
        <v xml:space="preserve">Afiliados Dependientes </v>
      </c>
      <c r="N9" s="1077" t="str">
        <f>+'III.3.2. Afil anual SFS RS '!E4</f>
        <v>Afiliados Totales</v>
      </c>
      <c r="O9" s="1077" t="str">
        <f>+'III.3.2. Afil anual SFS RS '!F4</f>
        <v xml:space="preserve">% Afiliados   titulares </v>
      </c>
      <c r="P9" s="1077" t="str">
        <f>+'III.3.2. Afil anual SFS RS '!G4</f>
        <v xml:space="preserve"> % Afiliados Dependientes</v>
      </c>
      <c r="Q9" s="1077" t="str">
        <f>+'III.3.2. Afil anual SFS RS '!H4</f>
        <v>Índice de dependencia RS</v>
      </c>
    </row>
    <row r="10" spans="1:19" ht="31.5" customHeight="1">
      <c r="A10" s="2124"/>
      <c r="B10" s="2124"/>
      <c r="C10" s="2124"/>
      <c r="D10" s="2124"/>
      <c r="E10" s="2124"/>
      <c r="F10" s="2124"/>
      <c r="G10" s="2124"/>
      <c r="H10" s="2124"/>
      <c r="I10" s="2124"/>
      <c r="J10" s="2124"/>
      <c r="L10" s="1077">
        <f>+'III.3.2. Afil anual SFS RS '!C22</f>
        <v>4822818</v>
      </c>
      <c r="M10" s="1077">
        <f>+'III.3.2. Afil anual SFS RS '!D22</f>
        <v>874408</v>
      </c>
      <c r="N10" s="1078">
        <f>+'III.3.2. Afil anual SFS RS '!E22</f>
        <v>5697226</v>
      </c>
      <c r="O10" s="1079">
        <f>+'III.3.2. Afil anual SFS RS '!F22</f>
        <v>0.84652039431119641</v>
      </c>
      <c r="P10" s="1079">
        <f>+'III.3.2. Afil anual SFS RS '!G22</f>
        <v>0.15347960568880364</v>
      </c>
      <c r="Q10" s="1080">
        <f>+'III.3.2. Afil anual SFS RS '!H22</f>
        <v>0.18130644780707048</v>
      </c>
    </row>
    <row r="11" spans="1:19" ht="35.25" customHeight="1">
      <c r="A11" s="2124"/>
      <c r="B11" s="2124"/>
      <c r="C11" s="2124"/>
      <c r="D11" s="2124"/>
      <c r="E11" s="2124"/>
      <c r="F11" s="2124"/>
      <c r="G11" s="2124"/>
      <c r="H11" s="2124"/>
      <c r="I11" s="2124"/>
      <c r="J11" s="2124"/>
    </row>
    <row r="12" spans="1:19" ht="31.5" customHeight="1">
      <c r="A12" s="2124"/>
      <c r="B12" s="2124"/>
      <c r="C12" s="2124"/>
      <c r="D12" s="2124"/>
      <c r="E12" s="2124"/>
      <c r="F12" s="2124"/>
      <c r="G12" s="2124"/>
      <c r="H12" s="2124"/>
      <c r="I12" s="2124"/>
      <c r="J12" s="2124"/>
      <c r="L12" s="1081" t="s">
        <v>483</v>
      </c>
      <c r="M12" s="1079">
        <f>+N16/N10</f>
        <v>0.49735292228182626</v>
      </c>
      <c r="N12" s="1082" t="s">
        <v>553</v>
      </c>
      <c r="O12" s="1083">
        <f>+M16/L16</f>
        <v>0.1930344584543652</v>
      </c>
    </row>
    <row r="13" spans="1:19" ht="56.25" customHeight="1">
      <c r="A13" s="2124"/>
      <c r="B13" s="2124"/>
      <c r="C13" s="2124"/>
      <c r="D13" s="2124"/>
      <c r="E13" s="2124"/>
      <c r="F13" s="2124"/>
      <c r="G13" s="2124"/>
      <c r="H13" s="2124"/>
      <c r="I13" s="2124"/>
      <c r="J13" s="2124"/>
      <c r="L13" s="1081" t="s">
        <v>485</v>
      </c>
      <c r="M13" s="1079">
        <f>+N19/N10</f>
        <v>0.50264707771817374</v>
      </c>
      <c r="N13" s="1082" t="s">
        <v>554</v>
      </c>
      <c r="O13" s="1083">
        <f>+M19/L19</f>
        <v>0.16992672877800269</v>
      </c>
      <c r="R13" s="1076"/>
      <c r="S13" s="1076">
        <v>2874475</v>
      </c>
    </row>
    <row r="14" spans="1:19" ht="46.5" customHeight="1">
      <c r="A14" s="2124"/>
      <c r="B14" s="2124"/>
      <c r="C14" s="2124"/>
      <c r="D14" s="2124"/>
      <c r="E14" s="2124"/>
      <c r="F14" s="2124"/>
      <c r="G14" s="2124"/>
      <c r="H14" s="2124"/>
      <c r="I14" s="2124"/>
      <c r="J14" s="2124"/>
      <c r="L14" s="2120" t="str">
        <f>+'III.3.3.Afil.SFSRSsex tipo '!E4</f>
        <v>Total Masculino</v>
      </c>
      <c r="M14" s="2120"/>
      <c r="N14" s="2120"/>
      <c r="R14" s="1076"/>
      <c r="S14" s="1076">
        <f>+S13-N16</f>
        <v>40943</v>
      </c>
    </row>
    <row r="15" spans="1:19" ht="31.5" customHeight="1">
      <c r="A15" s="2124"/>
      <c r="B15" s="2124"/>
      <c r="C15" s="2124"/>
      <c r="D15" s="2124"/>
      <c r="E15" s="2124"/>
      <c r="F15" s="2124"/>
      <c r="G15" s="2124"/>
      <c r="H15" s="2124"/>
      <c r="I15" s="2124"/>
      <c r="J15" s="2124"/>
      <c r="L15" s="1084" t="str">
        <f>+'III.3.3.Afil.SFSRSsex tipo '!C4</f>
        <v>Titulares_Masc</v>
      </c>
      <c r="M15" s="1084" t="str">
        <f>+'III.3.3.Afil.SFSRSsex tipo '!D4</f>
        <v>Dependientes Directos_Masc</v>
      </c>
      <c r="N15" s="1084" t="s">
        <v>235</v>
      </c>
      <c r="R15" s="1076"/>
      <c r="S15" s="1371">
        <f>+N16/S13</f>
        <v>0.98575635550839713</v>
      </c>
    </row>
    <row r="16" spans="1:19">
      <c r="A16" s="2124"/>
      <c r="B16" s="2124"/>
      <c r="C16" s="2124"/>
      <c r="D16" s="2124"/>
      <c r="E16" s="2124"/>
      <c r="F16" s="2124"/>
      <c r="G16" s="2124"/>
      <c r="H16" s="2124"/>
      <c r="I16" s="2124"/>
      <c r="J16" s="2124"/>
      <c r="L16" s="1077">
        <f>+'III.3.3.Afil.SFSRSsex tipo '!C22</f>
        <v>2375063</v>
      </c>
      <c r="M16" s="1077">
        <f>+'III.3.3.Afil.SFSRSsex tipo '!D22</f>
        <v>458469</v>
      </c>
      <c r="N16" s="1077">
        <f>+'III.3.3.Afil.SFSRSsex tipo '!E22</f>
        <v>2833532</v>
      </c>
      <c r="R16" s="1076"/>
      <c r="S16" s="1371">
        <f>+S15-100%</f>
        <v>-1.4243644491602869E-2</v>
      </c>
    </row>
    <row r="17" spans="1:24" ht="31.5" customHeight="1">
      <c r="A17" s="2124"/>
      <c r="B17" s="2124"/>
      <c r="C17" s="2124"/>
      <c r="D17" s="2124"/>
      <c r="E17" s="2124"/>
      <c r="F17" s="2124"/>
      <c r="G17" s="2124"/>
      <c r="H17" s="2124"/>
      <c r="I17" s="2124"/>
      <c r="J17" s="2124"/>
      <c r="L17" s="1079">
        <f>+L16/$N$16</f>
        <v>0.83819875688716416</v>
      </c>
      <c r="M17" s="1079">
        <f>+M16/$N$16</f>
        <v>0.16180124311283586</v>
      </c>
      <c r="N17" s="1079">
        <f>+N16/$N$16</f>
        <v>1</v>
      </c>
      <c r="O17" s="1372">
        <f>+M16/L16</f>
        <v>0.1930344584543652</v>
      </c>
      <c r="R17" s="1076"/>
      <c r="S17" s="1076"/>
    </row>
    <row r="18" spans="1:24" ht="31.5" customHeight="1">
      <c r="A18" s="2124"/>
      <c r="B18" s="2124"/>
      <c r="C18" s="2124"/>
      <c r="D18" s="2124"/>
      <c r="E18" s="2124"/>
      <c r="F18" s="2124"/>
      <c r="G18" s="2124"/>
      <c r="H18" s="2124"/>
      <c r="I18" s="2124"/>
      <c r="J18" s="2124"/>
      <c r="L18" s="2121" t="s">
        <v>239</v>
      </c>
      <c r="M18" s="2122"/>
      <c r="N18" s="2123"/>
      <c r="O18" s="175"/>
      <c r="R18" s="1076">
        <v>2908694</v>
      </c>
      <c r="S18" s="1076"/>
    </row>
    <row r="19" spans="1:24">
      <c r="A19" s="2124"/>
      <c r="B19" s="2124"/>
      <c r="C19" s="2124"/>
      <c r="D19" s="2124"/>
      <c r="E19" s="2124"/>
      <c r="F19" s="2124"/>
      <c r="G19" s="2124"/>
      <c r="H19" s="2124"/>
      <c r="I19" s="2124"/>
      <c r="J19" s="2124"/>
      <c r="L19" s="1077">
        <f>+'III.3.3.Afil.SFSRSsex tipo '!F22</f>
        <v>2447755</v>
      </c>
      <c r="M19" s="1077">
        <f>+'III.3.3.Afil.SFSRSsex tipo '!G22</f>
        <v>415939</v>
      </c>
      <c r="N19" s="1077">
        <f>+'III.3.3.Afil.SFSRSsex tipo '!H22</f>
        <v>2863694</v>
      </c>
      <c r="O19" s="175"/>
      <c r="R19" s="1076">
        <f>+R18-N19</f>
        <v>45000</v>
      </c>
      <c r="S19" s="1076"/>
    </row>
    <row r="20" spans="1:24">
      <c r="A20" s="2124"/>
      <c r="B20" s="2124"/>
      <c r="C20" s="2124"/>
      <c r="D20" s="2124"/>
      <c r="E20" s="2124"/>
      <c r="F20" s="2124"/>
      <c r="G20" s="2124"/>
      <c r="H20" s="2124"/>
      <c r="I20" s="2124"/>
      <c r="J20" s="2124"/>
      <c r="L20" s="1079">
        <f>+L19/$N$19</f>
        <v>0.85475438367367462</v>
      </c>
      <c r="M20" s="1079">
        <f>+M19/$N$19</f>
        <v>0.14524561632632538</v>
      </c>
      <c r="N20" s="1079">
        <f>+N19/$N$19</f>
        <v>1</v>
      </c>
      <c r="O20" s="1372">
        <f>+M19/L19</f>
        <v>0.16992672877800269</v>
      </c>
      <c r="R20" s="1371">
        <f>+N19/R18</f>
        <v>0.98452913919442886</v>
      </c>
      <c r="S20" s="1076"/>
    </row>
    <row r="21" spans="1:24" ht="31.5" customHeight="1">
      <c r="A21" s="2124"/>
      <c r="B21" s="2124"/>
      <c r="C21" s="2124"/>
      <c r="D21" s="2124"/>
      <c r="E21" s="2124"/>
      <c r="F21" s="2124"/>
      <c r="G21" s="2124"/>
      <c r="H21" s="2124"/>
      <c r="I21" s="2124"/>
      <c r="J21" s="2124"/>
      <c r="R21" s="1371">
        <f>+R20-100%</f>
        <v>-1.5470860805571141E-2</v>
      </c>
      <c r="S21" s="1076"/>
    </row>
    <row r="22" spans="1:24" ht="64.5" customHeight="1">
      <c r="A22" s="2124"/>
      <c r="B22" s="2124"/>
      <c r="C22" s="2124"/>
      <c r="D22" s="2124"/>
      <c r="E22" s="2124"/>
      <c r="F22" s="2124"/>
      <c r="G22" s="2124"/>
      <c r="H22" s="2124"/>
      <c r="I22" s="2124"/>
      <c r="J22" s="2124"/>
      <c r="W22" s="1076"/>
      <c r="X22" s="1076"/>
    </row>
    <row r="23" spans="1:24" ht="31.5" customHeight="1">
      <c r="A23" s="2124"/>
      <c r="B23" s="2124"/>
      <c r="C23" s="2124"/>
      <c r="D23" s="2124"/>
      <c r="E23" s="2124"/>
      <c r="F23" s="2124"/>
      <c r="G23" s="2124"/>
      <c r="H23" s="2124"/>
      <c r="I23" s="2124"/>
      <c r="J23" s="2124"/>
      <c r="W23" s="1373">
        <f>1.5-0.19</f>
        <v>1.31</v>
      </c>
      <c r="X23" s="1076"/>
    </row>
    <row r="24" spans="1:24" ht="28.5" customHeight="1">
      <c r="A24" s="2124"/>
      <c r="B24" s="2124"/>
      <c r="C24" s="2124"/>
      <c r="D24" s="2124"/>
      <c r="E24" s="2124"/>
      <c r="F24" s="2124"/>
      <c r="G24" s="2124"/>
      <c r="H24" s="2124"/>
      <c r="I24" s="2124"/>
      <c r="J24" s="2124"/>
      <c r="W24" s="1076"/>
      <c r="X24" s="1076"/>
    </row>
    <row r="25" spans="1:24" ht="31.5" customHeight="1">
      <c r="A25" s="2124"/>
      <c r="B25" s="2124"/>
      <c r="C25" s="2124"/>
      <c r="D25" s="2124"/>
      <c r="E25" s="2124"/>
      <c r="F25" s="2124"/>
      <c r="G25" s="2124"/>
      <c r="H25" s="2124"/>
      <c r="I25" s="2124"/>
      <c r="J25" s="2124"/>
      <c r="L25" s="1085" t="s">
        <v>555</v>
      </c>
      <c r="M25" s="1086">
        <f>+N16/N19</f>
        <v>0.98946745008370307</v>
      </c>
      <c r="W25" s="1076"/>
      <c r="X25" s="1076"/>
    </row>
    <row r="26" spans="1:24" ht="39.75" customHeight="1">
      <c r="A26" s="2124"/>
      <c r="B26" s="2124"/>
      <c r="C26" s="2124"/>
      <c r="D26" s="2124"/>
      <c r="E26" s="2124"/>
      <c r="F26" s="2124"/>
      <c r="G26" s="2124"/>
      <c r="H26" s="2124"/>
      <c r="I26" s="2124"/>
      <c r="J26" s="2124"/>
      <c r="L26" s="1085" t="s">
        <v>556</v>
      </c>
      <c r="M26" s="1086">
        <f>+N19/N16</f>
        <v>1.0106446653858152</v>
      </c>
      <c r="W26" s="1076"/>
      <c r="X26" s="1076"/>
    </row>
    <row r="27" spans="1:24" ht="30" customHeight="1">
      <c r="A27" s="2124"/>
      <c r="B27" s="2124"/>
      <c r="C27" s="2124"/>
      <c r="D27" s="2124"/>
      <c r="E27" s="2124"/>
      <c r="F27" s="2124"/>
      <c r="G27" s="2124"/>
      <c r="H27" s="2124"/>
      <c r="I27" s="2124"/>
      <c r="J27" s="2124"/>
      <c r="N27" s="1453"/>
    </row>
    <row r="28" spans="1:24" ht="78" customHeight="1">
      <c r="A28" s="2124"/>
      <c r="B28" s="2124"/>
      <c r="C28" s="2124"/>
      <c r="D28" s="2124"/>
      <c r="E28" s="2124"/>
      <c r="F28" s="2124"/>
      <c r="G28" s="2124"/>
      <c r="H28" s="2124"/>
      <c r="I28" s="2124"/>
      <c r="J28" s="2124"/>
    </row>
    <row r="29" spans="1:24" ht="31.5" customHeight="1">
      <c r="A29" s="2124"/>
      <c r="B29" s="2124"/>
      <c r="C29" s="2124"/>
      <c r="D29" s="2124"/>
      <c r="E29" s="2124"/>
      <c r="F29" s="2124"/>
      <c r="G29" s="2124"/>
      <c r="H29" s="2124"/>
      <c r="I29" s="2124"/>
      <c r="J29" s="2124"/>
      <c r="L29" s="1078" t="s">
        <v>557</v>
      </c>
      <c r="M29" s="1078">
        <v>2903737</v>
      </c>
      <c r="N29" s="2125">
        <f>+M30-M29</f>
        <v>-544</v>
      </c>
      <c r="O29" s="1076">
        <f>+N29/M29</f>
        <v>-1.8734479052338418E-4</v>
      </c>
    </row>
    <row r="30" spans="1:24" ht="31.5" customHeight="1">
      <c r="A30" s="2124"/>
      <c r="B30" s="2124"/>
      <c r="C30" s="2124"/>
      <c r="D30" s="2124"/>
      <c r="E30" s="2124"/>
      <c r="F30" s="2124"/>
      <c r="G30" s="2124"/>
      <c r="H30" s="2124"/>
      <c r="I30" s="2124"/>
      <c r="J30" s="2124"/>
      <c r="L30" s="1078" t="s">
        <v>558</v>
      </c>
      <c r="M30" s="1078">
        <v>2903193</v>
      </c>
      <c r="N30" s="2126"/>
    </row>
    <row r="31" spans="1:24" ht="26.25" customHeight="1">
      <c r="A31" s="2124"/>
      <c r="B31" s="2124"/>
      <c r="C31" s="2124"/>
      <c r="D31" s="2124"/>
      <c r="E31" s="2124"/>
      <c r="F31" s="2124"/>
      <c r="G31" s="2124"/>
      <c r="H31" s="2124"/>
      <c r="I31" s="2124"/>
      <c r="J31" s="2124"/>
      <c r="L31" s="1454" t="s">
        <v>559</v>
      </c>
      <c r="M31" s="1454">
        <v>2868608</v>
      </c>
      <c r="N31" s="2127">
        <f>+M32-M31</f>
        <v>1301</v>
      </c>
    </row>
    <row r="32" spans="1:24" ht="30.75" customHeight="1">
      <c r="A32" s="2124"/>
      <c r="B32" s="2124"/>
      <c r="C32" s="2124"/>
      <c r="D32" s="2124"/>
      <c r="E32" s="2124"/>
      <c r="F32" s="2124"/>
      <c r="G32" s="2124"/>
      <c r="H32" s="2124"/>
      <c r="I32" s="2124"/>
      <c r="J32" s="2124"/>
      <c r="L32" s="1454" t="s">
        <v>560</v>
      </c>
      <c r="M32" s="1454">
        <v>2869909</v>
      </c>
      <c r="N32" s="2128"/>
    </row>
    <row r="33" spans="1:12" ht="53.25" customHeight="1">
      <c r="A33" s="2124"/>
      <c r="B33" s="2124"/>
      <c r="C33" s="2124"/>
      <c r="D33" s="2124"/>
      <c r="E33" s="2124"/>
      <c r="F33" s="2124"/>
      <c r="G33" s="2124"/>
      <c r="H33" s="2124"/>
      <c r="I33" s="2124"/>
      <c r="J33" s="2124"/>
    </row>
    <row r="34" spans="1:12" ht="31.5" customHeight="1">
      <c r="A34" s="2124"/>
      <c r="B34" s="2124"/>
      <c r="C34" s="2124"/>
      <c r="D34" s="2124"/>
      <c r="E34" s="2124"/>
      <c r="F34" s="2124"/>
      <c r="G34" s="2124"/>
      <c r="H34" s="2124"/>
      <c r="I34" s="2124"/>
      <c r="J34" s="2124"/>
    </row>
    <row r="35" spans="1:12" ht="134.25" customHeight="1">
      <c r="A35" s="2124"/>
      <c r="B35" s="2124"/>
      <c r="C35" s="2124"/>
      <c r="D35" s="2124"/>
      <c r="E35" s="2124"/>
      <c r="F35" s="2124"/>
      <c r="G35" s="2124"/>
      <c r="H35" s="2124"/>
      <c r="I35" s="2124"/>
      <c r="J35" s="2124"/>
    </row>
    <row r="36" spans="1:12" ht="63" customHeight="1">
      <c r="A36" s="2124"/>
      <c r="B36" s="2124"/>
      <c r="C36" s="2124"/>
      <c r="D36" s="2124"/>
      <c r="E36" s="2124"/>
      <c r="F36" s="2124"/>
      <c r="G36" s="2124"/>
      <c r="H36" s="2124"/>
      <c r="I36" s="2124"/>
      <c r="J36" s="2124"/>
      <c r="L36" s="1452">
        <f>+N29/M30</f>
        <v>-1.8737989517059319E-4</v>
      </c>
    </row>
    <row r="37" spans="1:12">
      <c r="A37" s="2124"/>
      <c r="B37" s="2124"/>
      <c r="C37" s="2124"/>
      <c r="D37" s="2124"/>
      <c r="E37" s="2124"/>
      <c r="F37" s="2124"/>
      <c r="G37" s="2124"/>
      <c r="H37" s="2124"/>
      <c r="I37" s="2124"/>
      <c r="J37" s="2124"/>
    </row>
    <row r="38" spans="1:12">
      <c r="A38" s="2124"/>
      <c r="B38" s="2124"/>
      <c r="C38" s="2124"/>
      <c r="D38" s="2124"/>
      <c r="E38" s="2124"/>
      <c r="F38" s="2124"/>
      <c r="G38" s="2124"/>
      <c r="H38" s="2124"/>
      <c r="I38" s="2124"/>
      <c r="J38" s="2124"/>
    </row>
    <row r="39" spans="1:12">
      <c r="A39" s="2124"/>
      <c r="B39" s="2124"/>
      <c r="C39" s="2124"/>
      <c r="D39" s="2124"/>
      <c r="E39" s="2124"/>
      <c r="F39" s="2124"/>
      <c r="G39" s="2124"/>
      <c r="H39" s="2124"/>
      <c r="I39" s="2124"/>
      <c r="J39" s="2124"/>
    </row>
    <row r="40" spans="1:12">
      <c r="A40" s="2124"/>
      <c r="B40" s="2124"/>
      <c r="C40" s="2124"/>
      <c r="D40" s="2124"/>
      <c r="E40" s="2124"/>
      <c r="F40" s="2124"/>
      <c r="G40" s="2124"/>
      <c r="H40" s="2124"/>
      <c r="I40" s="2124"/>
      <c r="J40" s="2124"/>
    </row>
    <row r="41" spans="1:12">
      <c r="A41" s="2124"/>
      <c r="B41" s="2124"/>
      <c r="C41" s="2124"/>
      <c r="D41" s="2124"/>
      <c r="E41" s="2124"/>
      <c r="F41" s="2124"/>
      <c r="G41" s="2124"/>
      <c r="H41" s="2124"/>
      <c r="I41" s="2124"/>
      <c r="J41" s="2124"/>
    </row>
    <row r="42" spans="1:12">
      <c r="B42" s="36"/>
    </row>
  </sheetData>
  <mergeCells count="5">
    <mergeCell ref="L14:N14"/>
    <mergeCell ref="L18:N18"/>
    <mergeCell ref="A5:J41"/>
    <mergeCell ref="N29:N30"/>
    <mergeCell ref="N31:N32"/>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tabColor theme="9" tint="-0.249977111117893"/>
    <pageSetUpPr fitToPage="1"/>
  </sheetPr>
  <dimension ref="A1:T24"/>
  <sheetViews>
    <sheetView showGridLines="0" view="pageBreakPreview" topLeftCell="B1" zoomScale="85" zoomScaleNormal="100" zoomScaleSheetLayoutView="85" workbookViewId="0">
      <selection activeCell="E22" sqref="E22"/>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40" customFormat="1" ht="48.75" customHeight="1">
      <c r="B1" s="2129" t="s">
        <v>561</v>
      </c>
      <c r="C1" s="2129"/>
      <c r="D1" s="2129"/>
      <c r="E1" s="2129"/>
      <c r="F1" s="2129"/>
      <c r="G1" s="2129"/>
      <c r="H1" s="2129"/>
      <c r="I1" s="2129"/>
      <c r="J1" s="2129"/>
      <c r="K1" s="2129"/>
      <c r="L1" s="2129"/>
      <c r="M1" s="2129"/>
    </row>
    <row r="2" spans="1:13" s="540" customFormat="1" ht="23.25" customHeight="1">
      <c r="B2" s="2131" t="str">
        <f>+'III.3.3.Afil.SFSRSsex tipo '!B2:J2</f>
        <v>Período:  Diciembre 2008 - Abril 2025</v>
      </c>
      <c r="C2" s="2131"/>
      <c r="D2" s="2131"/>
      <c r="E2" s="2131"/>
      <c r="F2" s="2131"/>
      <c r="G2" s="2131"/>
      <c r="H2" s="2131"/>
      <c r="I2" s="2131"/>
      <c r="J2" s="2131"/>
      <c r="K2" s="2131"/>
      <c r="L2" s="2131"/>
      <c r="M2" s="2131"/>
    </row>
    <row r="3" spans="1:13" ht="9" customHeight="1">
      <c r="B3" s="49"/>
      <c r="C3" s="49"/>
      <c r="D3" s="49"/>
      <c r="E3" s="49"/>
      <c r="F3" s="49"/>
      <c r="G3" s="49"/>
      <c r="H3" s="49"/>
      <c r="I3" s="49"/>
      <c r="J3" s="49"/>
      <c r="K3" s="49"/>
      <c r="L3" s="49"/>
      <c r="M3" s="49"/>
    </row>
    <row r="4" spans="1:13" s="744" customFormat="1" ht="47.25">
      <c r="A4" s="741"/>
      <c r="B4" s="742" t="s">
        <v>562</v>
      </c>
      <c r="C4" s="743" t="s">
        <v>563</v>
      </c>
      <c r="D4" s="743" t="s">
        <v>564</v>
      </c>
      <c r="E4" s="743" t="s">
        <v>565</v>
      </c>
      <c r="F4" s="743" t="s">
        <v>566</v>
      </c>
      <c r="G4" s="743" t="s">
        <v>567</v>
      </c>
      <c r="H4" s="574" t="s">
        <v>568</v>
      </c>
      <c r="K4" s="49"/>
      <c r="L4" s="49"/>
      <c r="M4" s="49"/>
    </row>
    <row r="5" spans="1:13" s="745" customFormat="1" ht="15.75">
      <c r="A5" s="745">
        <v>2008</v>
      </c>
      <c r="B5" s="746" t="s">
        <v>460</v>
      </c>
      <c r="C5" s="747">
        <v>489949</v>
      </c>
      <c r="D5" s="747">
        <v>734694</v>
      </c>
      <c r="E5" s="754">
        <f t="shared" ref="E5:E19" si="0">C5+D5</f>
        <v>1224643</v>
      </c>
      <c r="F5" s="1839">
        <f t="shared" ref="F5:F19" si="1">C5/E5</f>
        <v>0.40007496062117692</v>
      </c>
      <c r="G5" s="1839">
        <f t="shared" ref="G5:G19" si="2">D5/E5</f>
        <v>0.59992503937882302</v>
      </c>
      <c r="H5" s="1840">
        <f t="shared" ref="H5:H17" si="3">D5/C5</f>
        <v>1.4995315838995487</v>
      </c>
      <c r="K5" s="576"/>
      <c r="L5" s="576"/>
      <c r="M5" s="576"/>
    </row>
    <row r="6" spans="1:13" s="745" customFormat="1" ht="15.75">
      <c r="A6" s="745">
        <v>2009</v>
      </c>
      <c r="B6" s="746" t="s">
        <v>461</v>
      </c>
      <c r="C6" s="747">
        <v>622049</v>
      </c>
      <c r="D6" s="748">
        <v>782176</v>
      </c>
      <c r="E6" s="754">
        <f t="shared" si="0"/>
        <v>1404225</v>
      </c>
      <c r="F6" s="1839">
        <f t="shared" si="1"/>
        <v>0.44298385230287168</v>
      </c>
      <c r="G6" s="1839">
        <f t="shared" si="2"/>
        <v>0.55701614769712826</v>
      </c>
      <c r="H6" s="1840">
        <f t="shared" si="3"/>
        <v>1.2574186277929873</v>
      </c>
      <c r="I6" s="749"/>
      <c r="K6" s="576"/>
      <c r="L6" s="576"/>
      <c r="M6" s="576"/>
    </row>
    <row r="7" spans="1:13" s="745" customFormat="1" ht="15.75">
      <c r="A7" s="745">
        <v>2010</v>
      </c>
      <c r="B7" s="746" t="s">
        <v>462</v>
      </c>
      <c r="C7" s="747">
        <v>903250</v>
      </c>
      <c r="D7" s="748">
        <v>1110536</v>
      </c>
      <c r="E7" s="754">
        <f t="shared" si="0"/>
        <v>2013786</v>
      </c>
      <c r="F7" s="1839">
        <f t="shared" si="1"/>
        <v>0.44853326023718509</v>
      </c>
      <c r="G7" s="1839">
        <f t="shared" si="2"/>
        <v>0.55146673976281491</v>
      </c>
      <c r="H7" s="1840">
        <f t="shared" si="3"/>
        <v>1.229489067257127</v>
      </c>
      <c r="I7" s="749"/>
      <c r="K7" s="576"/>
      <c r="L7" s="576"/>
      <c r="M7" s="576"/>
    </row>
    <row r="8" spans="1:13" s="745" customFormat="1" ht="15.75">
      <c r="A8" s="745">
        <v>2011</v>
      </c>
      <c r="B8" s="746" t="s">
        <v>463</v>
      </c>
      <c r="C8" s="747">
        <v>883775</v>
      </c>
      <c r="D8" s="748">
        <v>1119652</v>
      </c>
      <c r="E8" s="754">
        <f t="shared" si="0"/>
        <v>2003427</v>
      </c>
      <c r="F8" s="1839">
        <f t="shared" si="1"/>
        <v>0.44113162096747222</v>
      </c>
      <c r="G8" s="1839">
        <f t="shared" si="2"/>
        <v>0.55886837903252773</v>
      </c>
      <c r="H8" s="1840">
        <f t="shared" si="3"/>
        <v>1.2668971174789962</v>
      </c>
      <c r="I8" s="750"/>
      <c r="J8" s="750"/>
      <c r="K8" s="576"/>
      <c r="L8" s="576"/>
      <c r="M8" s="576"/>
    </row>
    <row r="9" spans="1:13" s="745" customFormat="1" ht="15.75">
      <c r="A9" s="745">
        <v>2012</v>
      </c>
      <c r="B9" s="746" t="s">
        <v>464</v>
      </c>
      <c r="C9" s="747">
        <v>1178040</v>
      </c>
      <c r="D9" s="748">
        <v>1125311</v>
      </c>
      <c r="E9" s="754">
        <f t="shared" si="0"/>
        <v>2303351</v>
      </c>
      <c r="F9" s="1839">
        <f t="shared" si="1"/>
        <v>0.51144614954472856</v>
      </c>
      <c r="G9" s="1839">
        <f t="shared" si="2"/>
        <v>0.4885538504552715</v>
      </c>
      <c r="H9" s="1840">
        <f t="shared" si="3"/>
        <v>0.95524005976027981</v>
      </c>
      <c r="I9" s="750"/>
      <c r="J9" s="750"/>
      <c r="K9" s="576"/>
      <c r="L9" s="576"/>
      <c r="M9" s="576"/>
    </row>
    <row r="10" spans="1:13" s="745" customFormat="1" ht="15.75">
      <c r="A10" s="745">
        <v>2013</v>
      </c>
      <c r="B10" s="746" t="s">
        <v>465</v>
      </c>
      <c r="C10" s="747">
        <v>1568225</v>
      </c>
      <c r="D10" s="748">
        <v>1183528</v>
      </c>
      <c r="E10" s="754">
        <f t="shared" si="0"/>
        <v>2751753</v>
      </c>
      <c r="F10" s="1839">
        <f t="shared" si="1"/>
        <v>0.56990035079456625</v>
      </c>
      <c r="G10" s="1839">
        <f t="shared" si="2"/>
        <v>0.43009964920543375</v>
      </c>
      <c r="H10" s="1840">
        <f t="shared" si="3"/>
        <v>0.75469272585247649</v>
      </c>
      <c r="I10" s="749"/>
    </row>
    <row r="11" spans="1:13" s="745" customFormat="1" ht="15.75">
      <c r="A11" s="745">
        <v>2014</v>
      </c>
      <c r="B11" s="746" t="s">
        <v>466</v>
      </c>
      <c r="C11" s="747">
        <v>1795214</v>
      </c>
      <c r="D11" s="748">
        <v>1220432</v>
      </c>
      <c r="E11" s="754">
        <f t="shared" si="0"/>
        <v>3015646</v>
      </c>
      <c r="F11" s="1839">
        <f t="shared" si="1"/>
        <v>0.5952999788436707</v>
      </c>
      <c r="G11" s="1839">
        <f t="shared" si="2"/>
        <v>0.40470002115632936</v>
      </c>
      <c r="H11" s="1840">
        <f t="shared" si="3"/>
        <v>0.67982535786819842</v>
      </c>
      <c r="I11" s="749"/>
    </row>
    <row r="12" spans="1:13" s="745" customFormat="1" ht="15.75">
      <c r="A12" s="745">
        <v>2015</v>
      </c>
      <c r="B12" s="746" t="s">
        <v>467</v>
      </c>
      <c r="C12" s="747">
        <v>2164705</v>
      </c>
      <c r="D12" s="748">
        <v>1152700</v>
      </c>
      <c r="E12" s="754">
        <f t="shared" si="0"/>
        <v>3317405</v>
      </c>
      <c r="F12" s="1839">
        <f t="shared" si="1"/>
        <v>0.65252961275454757</v>
      </c>
      <c r="G12" s="1839">
        <f t="shared" si="2"/>
        <v>0.34747038724545237</v>
      </c>
      <c r="H12" s="1840">
        <f t="shared" si="3"/>
        <v>0.53249749965930693</v>
      </c>
      <c r="I12" s="749"/>
    </row>
    <row r="13" spans="1:13" s="745" customFormat="1" ht="15.75">
      <c r="A13" s="745">
        <v>2016</v>
      </c>
      <c r="B13" s="746" t="s">
        <v>468</v>
      </c>
      <c r="C13" s="747">
        <v>2168957</v>
      </c>
      <c r="D13" s="748">
        <v>1178111</v>
      </c>
      <c r="E13" s="754">
        <f t="shared" si="0"/>
        <v>3347068</v>
      </c>
      <c r="F13" s="1839">
        <f t="shared" si="1"/>
        <v>0.64801701070907436</v>
      </c>
      <c r="G13" s="1839">
        <f t="shared" si="2"/>
        <v>0.3519829892909257</v>
      </c>
      <c r="H13" s="1840">
        <f t="shared" si="3"/>
        <v>0.54316936665872118</v>
      </c>
      <c r="I13" s="751"/>
    </row>
    <row r="14" spans="1:13" s="745" customFormat="1" ht="15.75">
      <c r="B14" s="746" t="s">
        <v>469</v>
      </c>
      <c r="C14" s="747">
        <v>2428212</v>
      </c>
      <c r="D14" s="748">
        <v>1118476</v>
      </c>
      <c r="E14" s="754">
        <f t="shared" si="0"/>
        <v>3546688</v>
      </c>
      <c r="F14" s="1839">
        <f t="shared" si="1"/>
        <v>0.68464212245339873</v>
      </c>
      <c r="G14" s="1839">
        <f t="shared" si="2"/>
        <v>0.31535787754660122</v>
      </c>
      <c r="H14" s="1840">
        <f t="shared" si="3"/>
        <v>0.46061711250912196</v>
      </c>
      <c r="I14" s="751"/>
    </row>
    <row r="15" spans="1:13" s="745" customFormat="1" ht="15.75">
      <c r="B15" s="746" t="s">
        <v>470</v>
      </c>
      <c r="C15" s="748">
        <v>2550398</v>
      </c>
      <c r="D15" s="748">
        <v>1069752</v>
      </c>
      <c r="E15" s="754">
        <f t="shared" si="0"/>
        <v>3620150</v>
      </c>
      <c r="F15" s="1839">
        <f t="shared" si="1"/>
        <v>0.70450064223858122</v>
      </c>
      <c r="G15" s="1839">
        <f t="shared" si="2"/>
        <v>0.29549935776141872</v>
      </c>
      <c r="H15" s="1840">
        <f t="shared" si="3"/>
        <v>0.41944512189862132</v>
      </c>
      <c r="I15" s="749"/>
    </row>
    <row r="16" spans="1:13" s="745" customFormat="1" ht="15.75">
      <c r="B16" s="746" t="s">
        <v>471</v>
      </c>
      <c r="C16" s="748">
        <v>2726543</v>
      </c>
      <c r="D16" s="748">
        <v>999719</v>
      </c>
      <c r="E16" s="754">
        <f t="shared" si="0"/>
        <v>3726262</v>
      </c>
      <c r="F16" s="1839">
        <f t="shared" si="1"/>
        <v>0.73170995490923607</v>
      </c>
      <c r="G16" s="1839">
        <f t="shared" si="2"/>
        <v>0.26829004509076387</v>
      </c>
      <c r="H16" s="1840">
        <f t="shared" si="3"/>
        <v>0.36666173979284389</v>
      </c>
      <c r="I16" s="749"/>
    </row>
    <row r="17" spans="2:20" s="745" customFormat="1" ht="15.75">
      <c r="B17" s="752" t="s">
        <v>537</v>
      </c>
      <c r="C17" s="748">
        <v>4656130</v>
      </c>
      <c r="D17" s="748">
        <v>1090709</v>
      </c>
      <c r="E17" s="754">
        <f t="shared" si="0"/>
        <v>5746839</v>
      </c>
      <c r="F17" s="1839">
        <f t="shared" si="1"/>
        <v>0.81020714169998498</v>
      </c>
      <c r="G17" s="1839">
        <f t="shared" si="2"/>
        <v>0.18979285830001502</v>
      </c>
      <c r="H17" s="1840">
        <f t="shared" si="3"/>
        <v>0.23425226529328005</v>
      </c>
      <c r="I17" s="749"/>
    </row>
    <row r="18" spans="2:20" s="745" customFormat="1" ht="15.75">
      <c r="B18" s="752" t="s">
        <v>473</v>
      </c>
      <c r="C18" s="748">
        <v>4751862</v>
      </c>
      <c r="D18" s="748">
        <v>995587</v>
      </c>
      <c r="E18" s="754">
        <f t="shared" si="0"/>
        <v>5747449</v>
      </c>
      <c r="F18" s="1839">
        <f t="shared" si="1"/>
        <v>0.82677758428130466</v>
      </c>
      <c r="G18" s="1839">
        <f t="shared" si="2"/>
        <v>0.17322241571869537</v>
      </c>
      <c r="H18" s="1840">
        <f>D18/C18</f>
        <v>0.20951513322567028</v>
      </c>
      <c r="I18" s="749"/>
    </row>
    <row r="19" spans="2:20" s="745" customFormat="1" ht="15.75">
      <c r="B19" s="752" t="s">
        <v>569</v>
      </c>
      <c r="C19" s="748">
        <v>4830794</v>
      </c>
      <c r="D19" s="748">
        <v>939407</v>
      </c>
      <c r="E19" s="754">
        <f t="shared" si="0"/>
        <v>5770201</v>
      </c>
      <c r="F19" s="1839">
        <f t="shared" si="1"/>
        <v>0.83719683248469157</v>
      </c>
      <c r="G19" s="1839">
        <f t="shared" si="2"/>
        <v>0.16280316751530841</v>
      </c>
      <c r="H19" s="1840">
        <f>D19/C19</f>
        <v>0.19446223540064014</v>
      </c>
      <c r="I19" s="749"/>
      <c r="N19" s="745">
        <f>+E22-'Resumen '!C39</f>
        <v>0</v>
      </c>
    </row>
    <row r="20" spans="2:20" s="745" customFormat="1" ht="15.75">
      <c r="B20" s="752" t="s">
        <v>570</v>
      </c>
      <c r="C20" s="753">
        <v>4769269</v>
      </c>
      <c r="D20" s="753">
        <v>920917</v>
      </c>
      <c r="E20" s="754">
        <v>5690186</v>
      </c>
      <c r="F20" s="1839">
        <f>C20/E20</f>
        <v>0.83815696007125251</v>
      </c>
      <c r="G20" s="1839">
        <f>D20/E20</f>
        <v>0.16184303992874749</v>
      </c>
      <c r="H20" s="1840">
        <f>D20/C20</f>
        <v>0.19309395213396435</v>
      </c>
      <c r="I20" s="749"/>
    </row>
    <row r="21" spans="2:20" s="745" customFormat="1" ht="15.75">
      <c r="B21" s="752" t="s">
        <v>476</v>
      </c>
      <c r="C21" s="753">
        <v>4854651</v>
      </c>
      <c r="D21" s="753">
        <v>883741</v>
      </c>
      <c r="E21" s="754">
        <f>C21+D21</f>
        <v>5738392</v>
      </c>
      <c r="F21" s="1839">
        <f>C21/E21</f>
        <v>0.84599501044892023</v>
      </c>
      <c r="G21" s="1839">
        <f>D21/E21</f>
        <v>0.1540049895510798</v>
      </c>
      <c r="H21" s="1840">
        <f>D21/C21</f>
        <v>0.18204006837978673</v>
      </c>
      <c r="I21" s="749"/>
    </row>
    <row r="22" spans="2:20" s="756" customFormat="1" ht="15.75">
      <c r="B22" s="746" t="str">
        <f>+'Resumen '!O6</f>
        <v>Abr.2025</v>
      </c>
      <c r="C22" s="753">
        <f>+'Resumen '!C37</f>
        <v>4822818</v>
      </c>
      <c r="D22" s="753">
        <f>+'Resumen '!C38</f>
        <v>874408</v>
      </c>
      <c r="E22" s="754">
        <f>C22+D22</f>
        <v>5697226</v>
      </c>
      <c r="F22" s="1839">
        <f>C22/E22</f>
        <v>0.84652039431119641</v>
      </c>
      <c r="G22" s="1839">
        <f>D22/E22</f>
        <v>0.15347960568880364</v>
      </c>
      <c r="H22" s="1840">
        <f>D22/C22</f>
        <v>0.18130644780707048</v>
      </c>
      <c r="I22" s="755"/>
      <c r="R22" s="745"/>
      <c r="T22" s="745"/>
    </row>
    <row r="23" spans="2:20" ht="15.75">
      <c r="B23" s="2130" t="s">
        <v>571</v>
      </c>
      <c r="C23" s="2130"/>
      <c r="D23" s="2130"/>
      <c r="E23" s="2130"/>
      <c r="F23" s="2130"/>
      <c r="G23" s="2130"/>
      <c r="H23" s="2130"/>
      <c r="R23" s="745"/>
      <c r="T23" s="745"/>
    </row>
    <row r="24" spans="2:20">
      <c r="B24" s="95"/>
    </row>
  </sheetData>
  <mergeCells count="3">
    <mergeCell ref="B1:M1"/>
    <mergeCell ref="B23:H23"/>
    <mergeCell ref="B2:M2"/>
  </mergeCells>
  <conditionalFormatting sqref="C18:D21">
    <cfRule type="cellIs" dxfId="620" priority="1" operator="equal">
      <formula>0</formula>
    </cfRule>
  </conditionalFormatting>
  <conditionalFormatting sqref="E5:G21 C22:G22">
    <cfRule type="cellIs" dxfId="619" priority="2"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theme="9" tint="-0.249977111117893"/>
    <pageSetUpPr fitToPage="1"/>
  </sheetPr>
  <dimension ref="A1:O44"/>
  <sheetViews>
    <sheetView showGridLines="0" view="pageBreakPreview" topLeftCell="B14" zoomScale="40" zoomScaleNormal="100" zoomScaleSheetLayoutView="40" zoomScalePageLayoutView="62" workbookViewId="0">
      <selection activeCell="I22" sqref="I22"/>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4" bestFit="1" customWidth="1"/>
    <col min="13" max="13" width="11.42578125" style="64"/>
    <col min="14" max="14" width="9.5703125" style="64" customWidth="1"/>
    <col min="15" max="15" width="11.42578125" style="64"/>
    <col min="17" max="17" width="18.7109375" bestFit="1" customWidth="1"/>
  </cols>
  <sheetData>
    <row r="1" spans="1:15" ht="95.25" customHeight="1">
      <c r="B1" s="2132" t="s">
        <v>572</v>
      </c>
      <c r="C1" s="2133"/>
      <c r="D1" s="2133"/>
      <c r="E1" s="2133"/>
      <c r="F1" s="2133"/>
      <c r="G1" s="2133"/>
      <c r="H1" s="2133"/>
      <c r="I1" s="2133"/>
      <c r="J1" s="2134"/>
    </row>
    <row r="2" spans="1:15" ht="62.25" customHeight="1" thickBot="1">
      <c r="B2" s="2135" t="str">
        <f>+'Resumen '!O4</f>
        <v>Período:  Diciembre 2008 - Abril 2025</v>
      </c>
      <c r="C2" s="2136"/>
      <c r="D2" s="2136"/>
      <c r="E2" s="2136"/>
      <c r="F2" s="2136"/>
      <c r="G2" s="2136"/>
      <c r="H2" s="2136"/>
      <c r="I2" s="2136"/>
      <c r="J2" s="2137"/>
    </row>
    <row r="3" spans="1:15" ht="9" customHeight="1">
      <c r="B3" s="74"/>
      <c r="C3" s="74"/>
      <c r="D3" s="74"/>
      <c r="E3" s="74"/>
      <c r="F3" s="74"/>
      <c r="G3" s="74"/>
      <c r="H3" s="74"/>
      <c r="I3" s="74"/>
      <c r="J3" s="74"/>
    </row>
    <row r="4" spans="1:15" s="15" customFormat="1" ht="81" customHeight="1">
      <c r="A4" s="101"/>
      <c r="B4" s="767" t="s">
        <v>262</v>
      </c>
      <c r="C4" s="765" t="s">
        <v>573</v>
      </c>
      <c r="D4" s="765" t="s">
        <v>574</v>
      </c>
      <c r="E4" s="765" t="s">
        <v>544</v>
      </c>
      <c r="F4" s="765" t="s">
        <v>575</v>
      </c>
      <c r="G4" s="765" t="s">
        <v>576</v>
      </c>
      <c r="H4" s="766" t="s">
        <v>577</v>
      </c>
      <c r="I4" s="768" t="s">
        <v>578</v>
      </c>
      <c r="J4"/>
      <c r="K4" s="52"/>
      <c r="L4" s="96"/>
      <c r="M4" s="96"/>
      <c r="N4" s="96"/>
      <c r="O4" s="96"/>
    </row>
    <row r="5" spans="1:15" ht="30.75" customHeight="1">
      <c r="A5">
        <v>2008</v>
      </c>
      <c r="B5" s="759" t="s">
        <v>383</v>
      </c>
      <c r="C5" s="761">
        <v>169198</v>
      </c>
      <c r="D5" s="761">
        <v>376240</v>
      </c>
      <c r="E5" s="760">
        <f>C5+D5</f>
        <v>545438</v>
      </c>
      <c r="F5" s="761">
        <v>320751</v>
      </c>
      <c r="G5" s="761">
        <v>358454</v>
      </c>
      <c r="H5" s="760">
        <f>F5+G5</f>
        <v>679205</v>
      </c>
      <c r="I5" s="762">
        <f>E5+H5</f>
        <v>1224643</v>
      </c>
      <c r="K5" s="90"/>
    </row>
    <row r="6" spans="1:15" ht="30.75" customHeight="1">
      <c r="A6">
        <v>2009</v>
      </c>
      <c r="B6" s="763" t="s">
        <v>384</v>
      </c>
      <c r="C6" s="761">
        <v>213701</v>
      </c>
      <c r="D6" s="761">
        <v>401930</v>
      </c>
      <c r="E6" s="760">
        <f t="shared" ref="E6:E22" si="0">C6+D6</f>
        <v>615631</v>
      </c>
      <c r="F6" s="761">
        <v>408348</v>
      </c>
      <c r="G6" s="761">
        <v>380246</v>
      </c>
      <c r="H6" s="760">
        <f t="shared" ref="H6:H22" si="1">F6+G6</f>
        <v>788594</v>
      </c>
      <c r="I6" s="762">
        <f t="shared" ref="I6:I22" si="2">E6+H6</f>
        <v>1404225</v>
      </c>
      <c r="K6" s="90"/>
    </row>
    <row r="7" spans="1:15" ht="30.75" customHeight="1">
      <c r="A7">
        <v>2010</v>
      </c>
      <c r="B7" s="759" t="s">
        <v>385</v>
      </c>
      <c r="C7" s="761">
        <v>328922</v>
      </c>
      <c r="D7" s="761">
        <v>575714</v>
      </c>
      <c r="E7" s="760">
        <f t="shared" si="0"/>
        <v>904636</v>
      </c>
      <c r="F7" s="761">
        <v>574328</v>
      </c>
      <c r="G7" s="761">
        <v>534822</v>
      </c>
      <c r="H7" s="760">
        <f t="shared" si="1"/>
        <v>1109150</v>
      </c>
      <c r="I7" s="762">
        <f t="shared" si="2"/>
        <v>2013786</v>
      </c>
      <c r="K7" s="90"/>
      <c r="L7" s="92"/>
    </row>
    <row r="8" spans="1:15" ht="30.75" customHeight="1">
      <c r="A8">
        <v>2011</v>
      </c>
      <c r="B8" s="763" t="s">
        <v>386</v>
      </c>
      <c r="C8" s="761">
        <v>319816</v>
      </c>
      <c r="D8" s="761">
        <v>579358</v>
      </c>
      <c r="E8" s="760">
        <f t="shared" si="0"/>
        <v>899174</v>
      </c>
      <c r="F8" s="761">
        <v>563959</v>
      </c>
      <c r="G8" s="761">
        <v>540294</v>
      </c>
      <c r="H8" s="760">
        <f t="shared" si="1"/>
        <v>1104253</v>
      </c>
      <c r="I8" s="762">
        <f t="shared" si="2"/>
        <v>2003427</v>
      </c>
      <c r="K8" s="90"/>
      <c r="L8" s="92"/>
    </row>
    <row r="9" spans="1:15" ht="30.75" customHeight="1">
      <c r="A9">
        <v>2012</v>
      </c>
      <c r="B9" s="759" t="s">
        <v>387</v>
      </c>
      <c r="C9" s="761">
        <v>446880</v>
      </c>
      <c r="D9" s="761">
        <v>584446</v>
      </c>
      <c r="E9" s="760">
        <f t="shared" si="0"/>
        <v>1031326</v>
      </c>
      <c r="F9" s="761">
        <v>731160</v>
      </c>
      <c r="G9" s="761">
        <v>540865</v>
      </c>
      <c r="H9" s="760">
        <f t="shared" si="1"/>
        <v>1272025</v>
      </c>
      <c r="I9" s="762">
        <f t="shared" si="2"/>
        <v>2303351</v>
      </c>
      <c r="K9" s="90"/>
    </row>
    <row r="10" spans="1:15" ht="30.75" customHeight="1">
      <c r="A10">
        <v>2013</v>
      </c>
      <c r="B10" s="763" t="s">
        <v>388</v>
      </c>
      <c r="C10" s="761">
        <v>625451</v>
      </c>
      <c r="D10" s="761">
        <v>617980</v>
      </c>
      <c r="E10" s="760">
        <f t="shared" si="0"/>
        <v>1243431</v>
      </c>
      <c r="F10" s="761">
        <v>942774</v>
      </c>
      <c r="G10" s="761">
        <v>565548</v>
      </c>
      <c r="H10" s="760">
        <f t="shared" si="1"/>
        <v>1508322</v>
      </c>
      <c r="I10" s="762">
        <f t="shared" si="2"/>
        <v>2751753</v>
      </c>
      <c r="K10" s="90"/>
    </row>
    <row r="11" spans="1:15" ht="30.75" customHeight="1">
      <c r="A11">
        <v>2014</v>
      </c>
      <c r="B11" s="759" t="s">
        <v>389</v>
      </c>
      <c r="C11" s="761">
        <v>760801</v>
      </c>
      <c r="D11" s="761">
        <v>639717</v>
      </c>
      <c r="E11" s="760">
        <f t="shared" si="0"/>
        <v>1400518</v>
      </c>
      <c r="F11" s="761">
        <v>1034413</v>
      </c>
      <c r="G11" s="761">
        <v>580715</v>
      </c>
      <c r="H11" s="760">
        <f t="shared" si="1"/>
        <v>1615128</v>
      </c>
      <c r="I11" s="762">
        <f t="shared" si="2"/>
        <v>3015646</v>
      </c>
      <c r="J11" s="56"/>
      <c r="K11" s="90"/>
    </row>
    <row r="12" spans="1:15" ht="30.75" customHeight="1">
      <c r="A12">
        <v>2015</v>
      </c>
      <c r="B12" s="759" t="s">
        <v>390</v>
      </c>
      <c r="C12" s="761">
        <v>965980</v>
      </c>
      <c r="D12" s="761">
        <v>606813</v>
      </c>
      <c r="E12" s="760">
        <f t="shared" si="0"/>
        <v>1572793</v>
      </c>
      <c r="F12" s="761">
        <v>1198725</v>
      </c>
      <c r="G12" s="761">
        <v>545887</v>
      </c>
      <c r="H12" s="760">
        <f t="shared" si="1"/>
        <v>1744612</v>
      </c>
      <c r="I12" s="762">
        <f t="shared" si="2"/>
        <v>3317405</v>
      </c>
      <c r="J12" s="41"/>
      <c r="K12" s="90"/>
    </row>
    <row r="13" spans="1:15" ht="30.75" customHeight="1">
      <c r="A13">
        <v>2016</v>
      </c>
      <c r="B13" s="759" t="s">
        <v>391</v>
      </c>
      <c r="C13" s="761">
        <v>958091</v>
      </c>
      <c r="D13" s="761">
        <v>617507</v>
      </c>
      <c r="E13" s="760">
        <f t="shared" si="0"/>
        <v>1575598</v>
      </c>
      <c r="F13" s="761">
        <v>1210866</v>
      </c>
      <c r="G13" s="761">
        <v>560604</v>
      </c>
      <c r="H13" s="760">
        <f t="shared" si="1"/>
        <v>1771470</v>
      </c>
      <c r="I13" s="762">
        <f t="shared" si="2"/>
        <v>3347068</v>
      </c>
      <c r="J13" s="11"/>
    </row>
    <row r="14" spans="1:15" ht="30.75" customHeight="1">
      <c r="B14" s="759" t="s">
        <v>392</v>
      </c>
      <c r="C14" s="761">
        <v>1093168</v>
      </c>
      <c r="D14" s="761">
        <v>584707</v>
      </c>
      <c r="E14" s="760">
        <f t="shared" si="0"/>
        <v>1677875</v>
      </c>
      <c r="F14" s="761">
        <v>1335044</v>
      </c>
      <c r="G14" s="761">
        <v>533769</v>
      </c>
      <c r="H14" s="760">
        <f t="shared" si="1"/>
        <v>1868813</v>
      </c>
      <c r="I14" s="762">
        <f t="shared" si="2"/>
        <v>3546688</v>
      </c>
      <c r="J14" s="11"/>
    </row>
    <row r="15" spans="1:15" ht="30.75" customHeight="1">
      <c r="B15" s="759" t="s">
        <v>579</v>
      </c>
      <c r="C15" s="761">
        <v>1152483</v>
      </c>
      <c r="D15" s="761">
        <v>559698</v>
      </c>
      <c r="E15" s="760">
        <f t="shared" si="0"/>
        <v>1712181</v>
      </c>
      <c r="F15" s="761">
        <v>1397915</v>
      </c>
      <c r="G15" s="761">
        <v>510054</v>
      </c>
      <c r="H15" s="760">
        <f t="shared" si="1"/>
        <v>1907969</v>
      </c>
      <c r="I15" s="762">
        <f t="shared" si="2"/>
        <v>3620150</v>
      </c>
      <c r="J15" s="11"/>
    </row>
    <row r="16" spans="1:15" ht="30.75" customHeight="1">
      <c r="B16" s="759" t="s">
        <v>394</v>
      </c>
      <c r="C16" s="761">
        <v>1234201</v>
      </c>
      <c r="D16" s="761">
        <v>524150</v>
      </c>
      <c r="E16" s="760">
        <f t="shared" si="0"/>
        <v>1758351</v>
      </c>
      <c r="F16" s="761">
        <v>1492342</v>
      </c>
      <c r="G16" s="761">
        <v>475569</v>
      </c>
      <c r="H16" s="760">
        <f t="shared" si="1"/>
        <v>1967911</v>
      </c>
      <c r="I16" s="762">
        <f t="shared" si="2"/>
        <v>3726262</v>
      </c>
      <c r="J16" s="11"/>
    </row>
    <row r="17" spans="2:12" ht="30.75" customHeight="1">
      <c r="B17" s="759" t="s">
        <v>395</v>
      </c>
      <c r="C17" s="761">
        <v>2285213</v>
      </c>
      <c r="D17" s="761">
        <v>568211</v>
      </c>
      <c r="E17" s="760">
        <f t="shared" si="0"/>
        <v>2853424</v>
      </c>
      <c r="F17" s="761">
        <v>2370917</v>
      </c>
      <c r="G17" s="761">
        <v>522498</v>
      </c>
      <c r="H17" s="760">
        <f t="shared" si="1"/>
        <v>2893415</v>
      </c>
      <c r="I17" s="762">
        <f t="shared" si="2"/>
        <v>5746839</v>
      </c>
      <c r="J17" s="11"/>
    </row>
    <row r="18" spans="2:12" ht="30.75" customHeight="1">
      <c r="B18" s="759" t="s">
        <v>396</v>
      </c>
      <c r="C18" s="761">
        <v>2336934</v>
      </c>
      <c r="D18" s="761">
        <v>520053</v>
      </c>
      <c r="E18" s="760">
        <f t="shared" si="0"/>
        <v>2856987</v>
      </c>
      <c r="F18" s="761">
        <v>2414928</v>
      </c>
      <c r="G18" s="761">
        <v>475534</v>
      </c>
      <c r="H18" s="760">
        <f t="shared" si="1"/>
        <v>2890462</v>
      </c>
      <c r="I18" s="762">
        <f t="shared" si="2"/>
        <v>5747449</v>
      </c>
      <c r="J18" s="11"/>
    </row>
    <row r="19" spans="2:12" ht="30.75" customHeight="1">
      <c r="B19" s="759" t="s">
        <v>397</v>
      </c>
      <c r="C19" s="761">
        <v>2381458</v>
      </c>
      <c r="D19" s="761">
        <v>492034</v>
      </c>
      <c r="E19" s="760">
        <f t="shared" si="0"/>
        <v>2873492</v>
      </c>
      <c r="F19" s="761">
        <v>2449336</v>
      </c>
      <c r="G19" s="761">
        <v>447373</v>
      </c>
      <c r="H19" s="760">
        <f t="shared" si="1"/>
        <v>2896709</v>
      </c>
      <c r="I19" s="762">
        <f t="shared" si="2"/>
        <v>5770201</v>
      </c>
      <c r="J19" s="11"/>
    </row>
    <row r="20" spans="2:12" ht="30.75" customHeight="1">
      <c r="B20" s="759" t="s">
        <v>398</v>
      </c>
      <c r="C20" s="764">
        <v>2342695</v>
      </c>
      <c r="D20" s="764">
        <v>482094</v>
      </c>
      <c r="E20" s="760">
        <f t="shared" si="0"/>
        <v>2824789</v>
      </c>
      <c r="F20" s="764">
        <v>2426574</v>
      </c>
      <c r="G20" s="764">
        <v>438823</v>
      </c>
      <c r="H20" s="760">
        <f t="shared" si="1"/>
        <v>2865397</v>
      </c>
      <c r="I20" s="762">
        <f t="shared" si="2"/>
        <v>5690186</v>
      </c>
      <c r="J20" s="11"/>
    </row>
    <row r="21" spans="2:12" ht="30.75" customHeight="1">
      <c r="B21" s="759" t="s">
        <v>399</v>
      </c>
      <c r="C21" s="764">
        <v>2391300</v>
      </c>
      <c r="D21" s="764">
        <v>462948</v>
      </c>
      <c r="E21" s="760">
        <f>C21+D21</f>
        <v>2854248</v>
      </c>
      <c r="F21" s="764">
        <v>2463351</v>
      </c>
      <c r="G21" s="764">
        <v>420793</v>
      </c>
      <c r="H21" s="760">
        <f>F21+G21</f>
        <v>2884144</v>
      </c>
      <c r="I21" s="762">
        <f>E21+H21</f>
        <v>5738392</v>
      </c>
      <c r="J21" s="11"/>
    </row>
    <row r="22" spans="2:12" ht="30.75" customHeight="1">
      <c r="B22" s="763" t="str">
        <f>+'Resumen '!O6</f>
        <v>Abr.2025</v>
      </c>
      <c r="C22" s="764">
        <f>+'Resumen '!D37</f>
        <v>2375063</v>
      </c>
      <c r="D22" s="764">
        <f>+'Resumen '!D38</f>
        <v>458469</v>
      </c>
      <c r="E22" s="760">
        <f t="shared" si="0"/>
        <v>2833532</v>
      </c>
      <c r="F22" s="764">
        <f>+'Resumen '!E37</f>
        <v>2447755</v>
      </c>
      <c r="G22" s="764">
        <f>+'Resumen '!E38</f>
        <v>415939</v>
      </c>
      <c r="H22" s="760">
        <f t="shared" si="1"/>
        <v>2863694</v>
      </c>
      <c r="I22" s="762">
        <f t="shared" si="2"/>
        <v>5697226</v>
      </c>
      <c r="J22" s="11"/>
      <c r="L22" s="64">
        <f>+Tabla15[[#This Row],[Total Afiliados SFS RS]]-'Resumen '!C39</f>
        <v>0</v>
      </c>
    </row>
    <row r="23" spans="2:12" ht="35.25" customHeight="1">
      <c r="B23" s="2139" t="s">
        <v>580</v>
      </c>
      <c r="C23" s="2139"/>
      <c r="D23" s="2139"/>
      <c r="E23" s="2139"/>
      <c r="F23" s="2139"/>
      <c r="G23" s="2139"/>
      <c r="H23" s="2139"/>
      <c r="I23" s="2139"/>
      <c r="J23" s="11"/>
    </row>
    <row r="24" spans="2:12" ht="25.5" customHeight="1">
      <c r="B24" s="2138"/>
      <c r="C24" s="2138"/>
      <c r="D24" s="2138"/>
      <c r="E24" s="2138"/>
      <c r="F24" s="2138"/>
      <c r="G24" s="2138"/>
      <c r="H24" s="2138"/>
      <c r="I24" s="2138"/>
      <c r="J24" s="11"/>
    </row>
    <row r="25" spans="2:12" ht="25.5" customHeight="1">
      <c r="B25" s="102"/>
      <c r="C25" s="102"/>
      <c r="D25" s="102"/>
      <c r="E25" s="102"/>
      <c r="F25" s="102"/>
      <c r="G25" s="102"/>
      <c r="H25" s="102"/>
      <c r="I25" s="102"/>
      <c r="J25" s="11"/>
      <c r="K25" s="91"/>
    </row>
    <row r="26" spans="2:12" ht="25.5" customHeight="1">
      <c r="I26" s="11"/>
      <c r="J26" s="11"/>
      <c r="K26" s="91"/>
    </row>
    <row r="27" spans="2:12" ht="25.5" customHeight="1">
      <c r="B27" s="11"/>
      <c r="C27" s="11"/>
      <c r="D27" s="11"/>
      <c r="E27" s="11"/>
      <c r="F27" s="11"/>
      <c r="G27" s="11"/>
      <c r="I27" s="11"/>
      <c r="J27" s="11"/>
      <c r="K27" s="91"/>
    </row>
    <row r="28" spans="2:12" ht="25.5" customHeight="1">
      <c r="B28" s="11"/>
      <c r="C28" s="11"/>
      <c r="D28" s="11"/>
      <c r="E28" s="11"/>
      <c r="F28" s="11"/>
      <c r="G28" s="11"/>
      <c r="I28" s="11"/>
      <c r="J28" s="11"/>
      <c r="K28" s="91"/>
    </row>
    <row r="29" spans="2:12" ht="25.5" customHeight="1">
      <c r="B29" s="11"/>
      <c r="C29" s="11"/>
      <c r="D29" s="11"/>
      <c r="E29" s="11"/>
      <c r="F29" s="11"/>
      <c r="G29" s="11"/>
      <c r="H29" s="11"/>
      <c r="I29" s="11"/>
      <c r="J29" s="11"/>
      <c r="K29" s="91"/>
    </row>
    <row r="30" spans="2:12" ht="25.5" customHeight="1">
      <c r="B30" s="11"/>
      <c r="C30" s="11"/>
      <c r="D30" s="11"/>
      <c r="E30" s="11"/>
      <c r="F30" s="11"/>
      <c r="G30" s="11"/>
      <c r="H30" s="11"/>
      <c r="I30" s="11"/>
      <c r="J30" s="11"/>
      <c r="K30" s="91"/>
    </row>
    <row r="31" spans="2:12" ht="25.5" customHeight="1">
      <c r="B31" s="11"/>
      <c r="C31" s="11"/>
      <c r="D31" s="11"/>
      <c r="E31" s="11"/>
      <c r="F31" s="11"/>
      <c r="G31" s="11"/>
      <c r="H31" s="11"/>
      <c r="I31" s="11"/>
      <c r="J31" s="11"/>
    </row>
    <row r="32" spans="2:12" ht="25.5" customHeight="1">
      <c r="B32" s="11"/>
      <c r="C32" s="11"/>
      <c r="D32" s="11"/>
      <c r="E32" s="11"/>
      <c r="F32" s="11"/>
      <c r="G32" s="11"/>
      <c r="H32" s="11"/>
      <c r="I32" s="11"/>
      <c r="J32" s="11"/>
      <c r="K32" s="91"/>
    </row>
    <row r="33" spans="2:15" ht="25.5" customHeight="1">
      <c r="B33" s="11"/>
      <c r="C33" s="11"/>
      <c r="D33" s="11"/>
      <c r="E33" s="11"/>
      <c r="F33" s="11"/>
      <c r="G33" s="11"/>
      <c r="H33" s="11"/>
      <c r="I33" s="11"/>
      <c r="K33" s="91"/>
    </row>
    <row r="34" spans="2:15">
      <c r="B34" s="11"/>
      <c r="C34" s="11"/>
      <c r="D34" s="11"/>
      <c r="E34" s="11"/>
      <c r="F34" s="11"/>
      <c r="G34" s="11"/>
      <c r="H34" s="11"/>
      <c r="I34" s="11"/>
      <c r="K34" s="89"/>
    </row>
    <row r="35" spans="2:15" ht="99.75" customHeight="1">
      <c r="B35" s="11"/>
      <c r="C35" s="11"/>
      <c r="D35" s="11"/>
      <c r="E35" s="11"/>
      <c r="F35" s="11"/>
      <c r="G35" s="11"/>
      <c r="H35" s="11"/>
      <c r="I35" s="11"/>
    </row>
    <row r="38" spans="2:15" ht="51" customHeight="1">
      <c r="J38" s="88"/>
    </row>
    <row r="39" spans="2:15" ht="78" customHeight="1">
      <c r="K39" s="88"/>
      <c r="L39" s="82"/>
      <c r="M39" s="82"/>
      <c r="N39" s="82"/>
      <c r="O39" s="82"/>
    </row>
    <row r="41" spans="2:15" ht="23.25">
      <c r="B41" s="88"/>
      <c r="C41" s="88"/>
      <c r="D41" s="88"/>
      <c r="E41" s="88"/>
      <c r="F41" s="88"/>
      <c r="G41" s="88"/>
      <c r="H41" s="88"/>
      <c r="I41" s="88"/>
    </row>
    <row r="44" spans="2:15" ht="88.5" customHeight="1"/>
  </sheetData>
  <mergeCells count="4">
    <mergeCell ref="B1:J1"/>
    <mergeCell ref="B2:J2"/>
    <mergeCell ref="B24:I24"/>
    <mergeCell ref="B23:I23"/>
  </mergeCells>
  <conditionalFormatting sqref="C22:D22 F22:G22">
    <cfRule type="cellIs" dxfId="606" priority="1" operator="equal">
      <formula>0</formula>
    </cfRule>
  </conditionalFormatting>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6" tint="0.39997558519241921"/>
    <pageSetUpPr fitToPage="1"/>
  </sheetPr>
  <dimension ref="A1:XFD159"/>
  <sheetViews>
    <sheetView showGridLines="0" view="pageBreakPreview" zoomScale="85" zoomScaleNormal="100" zoomScaleSheetLayoutView="85" workbookViewId="0">
      <pane ySplit="3" topLeftCell="A4" activePane="bottomLeft" state="frozen"/>
      <selection pane="bottomLeft" activeCell="F46" sqref="F46"/>
      <selection activeCell="A6" sqref="A6:J27"/>
    </sheetView>
  </sheetViews>
  <sheetFormatPr defaultColWidth="11.42578125" defaultRowHeight="12.75"/>
  <cols>
    <col min="1" max="1" width="137.42578125" style="448" customWidth="1"/>
    <col min="2" max="2" width="13" style="448" customWidth="1"/>
    <col min="3" max="16384" width="11.42578125" style="448"/>
  </cols>
  <sheetData>
    <row r="1" spans="1:1">
      <c r="A1" s="447" t="s">
        <v>50</v>
      </c>
    </row>
    <row r="2" spans="1:1" ht="24" customHeight="1"/>
    <row r="5" spans="1:1">
      <c r="A5" s="449" t="s">
        <v>51</v>
      </c>
    </row>
    <row r="6" spans="1:1">
      <c r="A6" s="449"/>
    </row>
    <row r="7" spans="1:1">
      <c r="A7" s="450" t="s">
        <v>52</v>
      </c>
    </row>
    <row r="8" spans="1:1">
      <c r="A8" s="450" t="s">
        <v>53</v>
      </c>
    </row>
    <row r="9" spans="1:1">
      <c r="A9" s="450" t="s">
        <v>54</v>
      </c>
    </row>
    <row r="10" spans="1:1">
      <c r="A10" s="450" t="s">
        <v>55</v>
      </c>
    </row>
    <row r="11" spans="1:1" collapsed="1"/>
    <row r="12" spans="1:1">
      <c r="A12" s="451" t="s">
        <v>56</v>
      </c>
    </row>
    <row r="13" spans="1:1">
      <c r="A13" s="450" t="s">
        <v>57</v>
      </c>
    </row>
    <row r="14" spans="1:1">
      <c r="A14" s="450" t="s">
        <v>58</v>
      </c>
    </row>
    <row r="15" spans="1:1">
      <c r="A15" s="450" t="s">
        <v>59</v>
      </c>
    </row>
    <row r="16" spans="1:1">
      <c r="A16" s="450" t="s">
        <v>60</v>
      </c>
    </row>
    <row r="17" spans="1:8">
      <c r="A17" s="450" t="s">
        <v>61</v>
      </c>
    </row>
    <row r="18" spans="1:8" collapsed="1">
      <c r="A18" s="450" t="s">
        <v>62</v>
      </c>
    </row>
    <row r="19" spans="1:8" ht="4.5" customHeight="1">
      <c r="A19" s="452"/>
    </row>
    <row r="20" spans="1:8">
      <c r="A20" s="451" t="s">
        <v>63</v>
      </c>
    </row>
    <row r="21" spans="1:8" ht="3.75" customHeight="1">
      <c r="A21" s="451"/>
    </row>
    <row r="22" spans="1:8">
      <c r="A22" s="453" t="s">
        <v>64</v>
      </c>
    </row>
    <row r="23" spans="1:8" ht="6" customHeight="1">
      <c r="A23" s="453"/>
    </row>
    <row r="24" spans="1:8">
      <c r="A24" s="454" t="s">
        <v>65</v>
      </c>
    </row>
    <row r="25" spans="1:8">
      <c r="A25" s="454" t="s">
        <v>66</v>
      </c>
      <c r="H25" s="448" t="s">
        <v>1</v>
      </c>
    </row>
    <row r="26" spans="1:8">
      <c r="A26" s="454" t="s">
        <v>67</v>
      </c>
    </row>
    <row r="27" spans="1:8">
      <c r="A27" s="454" t="s">
        <v>68</v>
      </c>
    </row>
    <row r="28" spans="1:8">
      <c r="A28" s="454" t="s">
        <v>69</v>
      </c>
    </row>
    <row r="29" spans="1:8">
      <c r="A29" s="454" t="s">
        <v>70</v>
      </c>
    </row>
    <row r="30" spans="1:8" ht="6.75" customHeight="1"/>
    <row r="31" spans="1:8">
      <c r="A31" s="453" t="s">
        <v>71</v>
      </c>
    </row>
    <row r="32" spans="1:8" ht="3.75" customHeight="1"/>
    <row r="33" spans="1:1" s="455" customFormat="1">
      <c r="A33" s="454" t="s">
        <v>72</v>
      </c>
    </row>
    <row r="34" spans="1:1">
      <c r="A34" s="454" t="s">
        <v>73</v>
      </c>
    </row>
    <row r="35" spans="1:1">
      <c r="A35" s="454" t="s">
        <v>74</v>
      </c>
    </row>
    <row r="36" spans="1:1">
      <c r="A36" s="454" t="s">
        <v>75</v>
      </c>
    </row>
    <row r="37" spans="1:1">
      <c r="A37" s="454" t="s">
        <v>76</v>
      </c>
    </row>
    <row r="38" spans="1:1">
      <c r="A38" s="454" t="s">
        <v>77</v>
      </c>
    </row>
    <row r="39" spans="1:1" ht="7.5" customHeight="1">
      <c r="A39" s="456"/>
    </row>
    <row r="40" spans="1:1">
      <c r="A40" s="453" t="s">
        <v>78</v>
      </c>
    </row>
    <row r="41" spans="1:1" ht="6" customHeight="1"/>
    <row r="42" spans="1:1">
      <c r="A42" s="454" t="s">
        <v>79</v>
      </c>
    </row>
    <row r="43" spans="1:1">
      <c r="A43" s="454" t="s">
        <v>80</v>
      </c>
    </row>
    <row r="44" spans="1:1">
      <c r="A44" s="454" t="s">
        <v>81</v>
      </c>
    </row>
    <row r="45" spans="1:1">
      <c r="A45" s="454" t="s">
        <v>82</v>
      </c>
    </row>
    <row r="46" spans="1:1">
      <c r="A46" s="454" t="s">
        <v>83</v>
      </c>
    </row>
    <row r="47" spans="1:1">
      <c r="A47" s="454" t="s">
        <v>84</v>
      </c>
    </row>
    <row r="48" spans="1:1" ht="6.75" customHeight="1"/>
    <row r="49" spans="1:1" ht="21.75" customHeight="1">
      <c r="A49" s="453" t="s">
        <v>85</v>
      </c>
    </row>
    <row r="50" spans="1:1" ht="6.75" customHeight="1"/>
    <row r="51" spans="1:1">
      <c r="A51" s="454" t="s">
        <v>86</v>
      </c>
    </row>
    <row r="52" spans="1:1">
      <c r="A52" s="454" t="s">
        <v>87</v>
      </c>
    </row>
    <row r="53" spans="1:1">
      <c r="A53" s="454" t="s">
        <v>88</v>
      </c>
    </row>
    <row r="54" spans="1:1">
      <c r="A54" s="454" t="s">
        <v>89</v>
      </c>
    </row>
    <row r="56" spans="1:1">
      <c r="A56" s="453" t="s">
        <v>90</v>
      </c>
    </row>
    <row r="57" spans="1:1" ht="14.25" customHeight="1"/>
    <row r="58" spans="1:1">
      <c r="A58" s="454" t="s">
        <v>91</v>
      </c>
    </row>
    <row r="59" spans="1:1">
      <c r="A59" s="454" t="s">
        <v>92</v>
      </c>
    </row>
    <row r="60" spans="1:1">
      <c r="A60" s="454" t="s">
        <v>93</v>
      </c>
    </row>
    <row r="61" spans="1:1">
      <c r="A61" s="454" t="s">
        <v>94</v>
      </c>
    </row>
    <row r="62" spans="1:1">
      <c r="A62" s="454" t="s">
        <v>95</v>
      </c>
    </row>
    <row r="63" spans="1:1">
      <c r="A63" s="454" t="s">
        <v>96</v>
      </c>
    </row>
    <row r="64" spans="1:1">
      <c r="A64" s="454" t="s">
        <v>97</v>
      </c>
    </row>
    <row r="65" spans="1:1">
      <c r="A65" s="454" t="s">
        <v>98</v>
      </c>
    </row>
    <row r="66" spans="1:1">
      <c r="A66" s="454" t="s">
        <v>99</v>
      </c>
    </row>
    <row r="67" spans="1:1">
      <c r="A67" s="454" t="s">
        <v>100</v>
      </c>
    </row>
    <row r="68" spans="1:1" s="458" customFormat="1">
      <c r="A68" s="457" t="s">
        <v>101</v>
      </c>
    </row>
    <row r="69" spans="1:1">
      <c r="A69" s="454" t="s">
        <v>102</v>
      </c>
    </row>
    <row r="70" spans="1:1">
      <c r="A70" s="454" t="s">
        <v>103</v>
      </c>
    </row>
    <row r="71" spans="1:1">
      <c r="A71" s="454" t="s">
        <v>104</v>
      </c>
    </row>
    <row r="72" spans="1:1">
      <c r="A72" s="454" t="s">
        <v>105</v>
      </c>
    </row>
    <row r="73" spans="1:1" ht="3.75" customHeight="1"/>
    <row r="74" spans="1:1">
      <c r="A74" s="453" t="s">
        <v>106</v>
      </c>
    </row>
    <row r="75" spans="1:1" ht="7.5" customHeight="1"/>
    <row r="76" spans="1:1">
      <c r="A76" s="454" t="s">
        <v>107</v>
      </c>
    </row>
    <row r="77" spans="1:1">
      <c r="A77" s="454" t="s">
        <v>108</v>
      </c>
    </row>
    <row r="78" spans="1:1">
      <c r="A78" s="454" t="s">
        <v>109</v>
      </c>
    </row>
    <row r="79" spans="1:1">
      <c r="A79" s="454" t="s">
        <v>110</v>
      </c>
    </row>
    <row r="80" spans="1:1">
      <c r="A80" s="454" t="s">
        <v>111</v>
      </c>
    </row>
    <row r="81" spans="1:16384" ht="14.25" customHeight="1">
      <c r="A81" s="454" t="s">
        <v>112</v>
      </c>
    </row>
    <row r="82" spans="1:16384" ht="9" customHeight="1">
      <c r="A82" s="456"/>
    </row>
    <row r="83" spans="1:16384">
      <c r="A83" s="451" t="s">
        <v>113</v>
      </c>
    </row>
    <row r="84" spans="1:16384" ht="6" customHeight="1">
      <c r="A84" s="451"/>
    </row>
    <row r="85" spans="1:16384">
      <c r="A85" s="453" t="s">
        <v>114</v>
      </c>
    </row>
    <row r="86" spans="1:16384" ht="21" customHeight="1">
      <c r="A86" s="454" t="s">
        <v>115</v>
      </c>
    </row>
    <row r="87" spans="1:16384">
      <c r="A87" s="454" t="s">
        <v>116</v>
      </c>
    </row>
    <row r="88" spans="1:16384">
      <c r="A88" s="454" t="s">
        <v>117</v>
      </c>
    </row>
    <row r="89" spans="1:16384">
      <c r="A89" s="454" t="s">
        <v>118</v>
      </c>
    </row>
    <row r="90" spans="1:16384">
      <c r="A90" s="456"/>
    </row>
    <row r="91" spans="1:16384">
      <c r="A91" s="453" t="s">
        <v>119</v>
      </c>
    </row>
    <row r="92" spans="1:16384" ht="6" customHeight="1"/>
    <row r="93" spans="1:16384" s="456" customFormat="1" ht="13.5" customHeight="1">
      <c r="A93" s="454" t="s">
        <v>120</v>
      </c>
      <c r="R93" s="456" t="s">
        <v>116</v>
      </c>
      <c r="S93" s="456" t="s">
        <v>116</v>
      </c>
      <c r="T93" s="456" t="s">
        <v>116</v>
      </c>
      <c r="U93" s="456" t="s">
        <v>116</v>
      </c>
      <c r="V93" s="456" t="s">
        <v>116</v>
      </c>
      <c r="W93" s="456" t="s">
        <v>116</v>
      </c>
      <c r="X93" s="456" t="s">
        <v>116</v>
      </c>
      <c r="Y93" s="456" t="s">
        <v>116</v>
      </c>
      <c r="Z93" s="456" t="s">
        <v>116</v>
      </c>
      <c r="AA93" s="456" t="s">
        <v>116</v>
      </c>
      <c r="AB93" s="456" t="s">
        <v>116</v>
      </c>
      <c r="AC93" s="456" t="s">
        <v>116</v>
      </c>
      <c r="AD93" s="456" t="s">
        <v>116</v>
      </c>
      <c r="AE93" s="456" t="s">
        <v>116</v>
      </c>
      <c r="AF93" s="456" t="s">
        <v>116</v>
      </c>
      <c r="AG93" s="456" t="s">
        <v>116</v>
      </c>
      <c r="AH93" s="456" t="s">
        <v>116</v>
      </c>
      <c r="AI93" s="456" t="s">
        <v>116</v>
      </c>
      <c r="AJ93" s="456" t="s">
        <v>116</v>
      </c>
      <c r="AK93" s="456" t="s">
        <v>116</v>
      </c>
      <c r="AL93" s="456" t="s">
        <v>116</v>
      </c>
      <c r="AM93" s="456" t="s">
        <v>116</v>
      </c>
      <c r="AN93" s="456" t="s">
        <v>116</v>
      </c>
      <c r="AO93" s="456" t="s">
        <v>116</v>
      </c>
      <c r="AP93" s="456" t="s">
        <v>116</v>
      </c>
      <c r="AQ93" s="456" t="s">
        <v>116</v>
      </c>
      <c r="AR93" s="456" t="s">
        <v>116</v>
      </c>
      <c r="AS93" s="456" t="s">
        <v>116</v>
      </c>
      <c r="AT93" s="456" t="s">
        <v>116</v>
      </c>
      <c r="AU93" s="456" t="s">
        <v>116</v>
      </c>
      <c r="AV93" s="456" t="s">
        <v>116</v>
      </c>
      <c r="AW93" s="456" t="s">
        <v>116</v>
      </c>
      <c r="AX93" s="456" t="s">
        <v>116</v>
      </c>
      <c r="AY93" s="456" t="s">
        <v>116</v>
      </c>
      <c r="AZ93" s="456" t="s">
        <v>116</v>
      </c>
      <c r="BA93" s="456" t="s">
        <v>116</v>
      </c>
      <c r="BB93" s="456" t="s">
        <v>116</v>
      </c>
      <c r="BC93" s="456" t="s">
        <v>116</v>
      </c>
      <c r="BD93" s="456" t="s">
        <v>116</v>
      </c>
      <c r="BE93" s="456" t="s">
        <v>116</v>
      </c>
      <c r="BF93" s="456" t="s">
        <v>116</v>
      </c>
      <c r="BG93" s="456" t="s">
        <v>116</v>
      </c>
      <c r="BH93" s="456" t="s">
        <v>116</v>
      </c>
      <c r="BI93" s="456" t="s">
        <v>116</v>
      </c>
      <c r="BJ93" s="456" t="s">
        <v>116</v>
      </c>
      <c r="BK93" s="456" t="s">
        <v>116</v>
      </c>
      <c r="BL93" s="456" t="s">
        <v>116</v>
      </c>
      <c r="BM93" s="456" t="s">
        <v>116</v>
      </c>
      <c r="BN93" s="456" t="s">
        <v>116</v>
      </c>
      <c r="BO93" s="456" t="s">
        <v>116</v>
      </c>
      <c r="BP93" s="456" t="s">
        <v>116</v>
      </c>
      <c r="BQ93" s="456" t="s">
        <v>116</v>
      </c>
      <c r="BR93" s="456" t="s">
        <v>116</v>
      </c>
      <c r="BS93" s="456" t="s">
        <v>116</v>
      </c>
      <c r="BT93" s="456" t="s">
        <v>116</v>
      </c>
      <c r="BU93" s="456" t="s">
        <v>116</v>
      </c>
      <c r="BV93" s="456" t="s">
        <v>116</v>
      </c>
      <c r="BW93" s="456" t="s">
        <v>116</v>
      </c>
      <c r="BX93" s="456" t="s">
        <v>116</v>
      </c>
      <c r="BY93" s="456" t="s">
        <v>116</v>
      </c>
      <c r="BZ93" s="456" t="s">
        <v>116</v>
      </c>
      <c r="CA93" s="456" t="s">
        <v>116</v>
      </c>
      <c r="CB93" s="456" t="s">
        <v>116</v>
      </c>
      <c r="CC93" s="456" t="s">
        <v>116</v>
      </c>
      <c r="CD93" s="456" t="s">
        <v>116</v>
      </c>
      <c r="CE93" s="456" t="s">
        <v>116</v>
      </c>
      <c r="CF93" s="456" t="s">
        <v>116</v>
      </c>
      <c r="CG93" s="456" t="s">
        <v>116</v>
      </c>
      <c r="CH93" s="456" t="s">
        <v>116</v>
      </c>
      <c r="CI93" s="456" t="s">
        <v>116</v>
      </c>
      <c r="CJ93" s="456" t="s">
        <v>116</v>
      </c>
      <c r="CK93" s="456" t="s">
        <v>116</v>
      </c>
      <c r="CL93" s="456" t="s">
        <v>116</v>
      </c>
      <c r="CM93" s="456" t="s">
        <v>116</v>
      </c>
      <c r="CN93" s="456" t="s">
        <v>116</v>
      </c>
      <c r="CO93" s="456" t="s">
        <v>116</v>
      </c>
      <c r="CP93" s="456" t="s">
        <v>116</v>
      </c>
      <c r="CQ93" s="456" t="s">
        <v>116</v>
      </c>
      <c r="CR93" s="456" t="s">
        <v>116</v>
      </c>
      <c r="CS93" s="456" t="s">
        <v>116</v>
      </c>
      <c r="CT93" s="456" t="s">
        <v>116</v>
      </c>
      <c r="CU93" s="456" t="s">
        <v>116</v>
      </c>
      <c r="CV93" s="456" t="s">
        <v>116</v>
      </c>
      <c r="CW93" s="456" t="s">
        <v>116</v>
      </c>
      <c r="CX93" s="456" t="s">
        <v>116</v>
      </c>
      <c r="CY93" s="456" t="s">
        <v>116</v>
      </c>
      <c r="CZ93" s="456" t="s">
        <v>116</v>
      </c>
      <c r="DA93" s="456" t="s">
        <v>116</v>
      </c>
      <c r="DB93" s="456" t="s">
        <v>116</v>
      </c>
      <c r="DC93" s="456" t="s">
        <v>116</v>
      </c>
      <c r="DD93" s="456" t="s">
        <v>116</v>
      </c>
      <c r="DE93" s="456" t="s">
        <v>116</v>
      </c>
      <c r="DF93" s="456" t="s">
        <v>116</v>
      </c>
      <c r="DG93" s="456" t="s">
        <v>116</v>
      </c>
      <c r="DH93" s="456" t="s">
        <v>116</v>
      </c>
      <c r="DI93" s="456" t="s">
        <v>116</v>
      </c>
      <c r="DJ93" s="456" t="s">
        <v>116</v>
      </c>
      <c r="DK93" s="456" t="s">
        <v>116</v>
      </c>
      <c r="DL93" s="456" t="s">
        <v>116</v>
      </c>
      <c r="DM93" s="456" t="s">
        <v>116</v>
      </c>
      <c r="DN93" s="456" t="s">
        <v>116</v>
      </c>
      <c r="DO93" s="456" t="s">
        <v>116</v>
      </c>
      <c r="DP93" s="456" t="s">
        <v>116</v>
      </c>
      <c r="DQ93" s="456" t="s">
        <v>116</v>
      </c>
      <c r="DR93" s="456" t="s">
        <v>116</v>
      </c>
      <c r="DS93" s="456" t="s">
        <v>116</v>
      </c>
      <c r="DT93" s="456" t="s">
        <v>116</v>
      </c>
      <c r="DU93" s="456" t="s">
        <v>116</v>
      </c>
      <c r="DV93" s="456" t="s">
        <v>116</v>
      </c>
      <c r="DW93" s="456" t="s">
        <v>116</v>
      </c>
      <c r="DX93" s="456" t="s">
        <v>116</v>
      </c>
      <c r="DY93" s="456" t="s">
        <v>116</v>
      </c>
      <c r="DZ93" s="456" t="s">
        <v>116</v>
      </c>
      <c r="EA93" s="456" t="s">
        <v>116</v>
      </c>
      <c r="EB93" s="456" t="s">
        <v>116</v>
      </c>
      <c r="EC93" s="456" t="s">
        <v>116</v>
      </c>
      <c r="ED93" s="456" t="s">
        <v>116</v>
      </c>
      <c r="EE93" s="456" t="s">
        <v>116</v>
      </c>
      <c r="EF93" s="456" t="s">
        <v>116</v>
      </c>
      <c r="EG93" s="456" t="s">
        <v>116</v>
      </c>
      <c r="EH93" s="456" t="s">
        <v>116</v>
      </c>
      <c r="EI93" s="456" t="s">
        <v>116</v>
      </c>
      <c r="EJ93" s="456" t="s">
        <v>116</v>
      </c>
      <c r="EK93" s="456" t="s">
        <v>116</v>
      </c>
      <c r="EL93" s="456" t="s">
        <v>116</v>
      </c>
      <c r="EM93" s="456" t="s">
        <v>116</v>
      </c>
      <c r="EN93" s="456" t="s">
        <v>116</v>
      </c>
      <c r="EO93" s="456" t="s">
        <v>116</v>
      </c>
      <c r="EP93" s="456" t="s">
        <v>116</v>
      </c>
      <c r="EQ93" s="456" t="s">
        <v>116</v>
      </c>
      <c r="ER93" s="456" t="s">
        <v>116</v>
      </c>
      <c r="ES93" s="456" t="s">
        <v>116</v>
      </c>
      <c r="ET93" s="456" t="s">
        <v>116</v>
      </c>
      <c r="EU93" s="456" t="s">
        <v>116</v>
      </c>
      <c r="EV93" s="456" t="s">
        <v>116</v>
      </c>
      <c r="EW93" s="456" t="s">
        <v>116</v>
      </c>
      <c r="EX93" s="456" t="s">
        <v>116</v>
      </c>
      <c r="EY93" s="456" t="s">
        <v>116</v>
      </c>
      <c r="EZ93" s="456" t="s">
        <v>116</v>
      </c>
      <c r="FA93" s="456" t="s">
        <v>116</v>
      </c>
      <c r="FB93" s="456" t="s">
        <v>116</v>
      </c>
      <c r="FC93" s="456" t="s">
        <v>116</v>
      </c>
      <c r="FD93" s="456" t="s">
        <v>116</v>
      </c>
      <c r="FE93" s="456" t="s">
        <v>116</v>
      </c>
      <c r="FF93" s="456" t="s">
        <v>116</v>
      </c>
      <c r="FG93" s="456" t="s">
        <v>116</v>
      </c>
      <c r="FH93" s="456" t="s">
        <v>116</v>
      </c>
      <c r="FI93" s="456" t="s">
        <v>116</v>
      </c>
      <c r="FJ93" s="456" t="s">
        <v>116</v>
      </c>
      <c r="FK93" s="456" t="s">
        <v>116</v>
      </c>
      <c r="FL93" s="456" t="s">
        <v>116</v>
      </c>
      <c r="FM93" s="456" t="s">
        <v>116</v>
      </c>
      <c r="FN93" s="456" t="s">
        <v>116</v>
      </c>
      <c r="FO93" s="456" t="s">
        <v>116</v>
      </c>
      <c r="FP93" s="456" t="s">
        <v>116</v>
      </c>
      <c r="FQ93" s="456" t="s">
        <v>116</v>
      </c>
      <c r="FR93" s="456" t="s">
        <v>116</v>
      </c>
      <c r="FS93" s="456" t="s">
        <v>116</v>
      </c>
      <c r="FT93" s="456" t="s">
        <v>116</v>
      </c>
      <c r="FU93" s="456" t="s">
        <v>116</v>
      </c>
      <c r="FV93" s="456" t="s">
        <v>116</v>
      </c>
      <c r="FW93" s="456" t="s">
        <v>116</v>
      </c>
      <c r="FX93" s="456" t="s">
        <v>116</v>
      </c>
      <c r="FY93" s="456" t="s">
        <v>116</v>
      </c>
      <c r="FZ93" s="456" t="s">
        <v>116</v>
      </c>
      <c r="GA93" s="456" t="s">
        <v>116</v>
      </c>
      <c r="GB93" s="456" t="s">
        <v>116</v>
      </c>
      <c r="GC93" s="456" t="s">
        <v>116</v>
      </c>
      <c r="GD93" s="456" t="s">
        <v>116</v>
      </c>
      <c r="GE93" s="456" t="s">
        <v>116</v>
      </c>
      <c r="GF93" s="456" t="s">
        <v>116</v>
      </c>
      <c r="GG93" s="456" t="s">
        <v>116</v>
      </c>
      <c r="GH93" s="456" t="s">
        <v>116</v>
      </c>
      <c r="GI93" s="456" t="s">
        <v>116</v>
      </c>
      <c r="GJ93" s="456" t="s">
        <v>116</v>
      </c>
      <c r="GK93" s="456" t="s">
        <v>116</v>
      </c>
      <c r="GL93" s="456" t="s">
        <v>116</v>
      </c>
      <c r="GM93" s="456" t="s">
        <v>116</v>
      </c>
      <c r="GN93" s="456" t="s">
        <v>116</v>
      </c>
      <c r="GO93" s="456" t="s">
        <v>116</v>
      </c>
      <c r="GP93" s="456" t="s">
        <v>116</v>
      </c>
      <c r="GQ93" s="456" t="s">
        <v>116</v>
      </c>
      <c r="GR93" s="456" t="s">
        <v>116</v>
      </c>
      <c r="GS93" s="456" t="s">
        <v>116</v>
      </c>
      <c r="GT93" s="456" t="s">
        <v>116</v>
      </c>
      <c r="GU93" s="456" t="s">
        <v>116</v>
      </c>
      <c r="GV93" s="456" t="s">
        <v>116</v>
      </c>
      <c r="GW93" s="456" t="s">
        <v>116</v>
      </c>
      <c r="GX93" s="456" t="s">
        <v>116</v>
      </c>
      <c r="GY93" s="456" t="s">
        <v>116</v>
      </c>
      <c r="GZ93" s="456" t="s">
        <v>116</v>
      </c>
      <c r="HA93" s="456" t="s">
        <v>116</v>
      </c>
      <c r="HB93" s="456" t="s">
        <v>116</v>
      </c>
      <c r="HC93" s="456" t="s">
        <v>116</v>
      </c>
      <c r="HD93" s="456" t="s">
        <v>116</v>
      </c>
      <c r="HE93" s="456" t="s">
        <v>116</v>
      </c>
      <c r="HF93" s="456" t="s">
        <v>116</v>
      </c>
      <c r="HG93" s="456" t="s">
        <v>116</v>
      </c>
      <c r="HH93" s="456" t="s">
        <v>116</v>
      </c>
      <c r="HI93" s="456" t="s">
        <v>116</v>
      </c>
      <c r="HJ93" s="456" t="s">
        <v>116</v>
      </c>
      <c r="HK93" s="456" t="s">
        <v>116</v>
      </c>
      <c r="HL93" s="456" t="s">
        <v>116</v>
      </c>
      <c r="HM93" s="456" t="s">
        <v>116</v>
      </c>
      <c r="HN93" s="456" t="s">
        <v>116</v>
      </c>
      <c r="HO93" s="456" t="s">
        <v>116</v>
      </c>
      <c r="HP93" s="456" t="s">
        <v>116</v>
      </c>
      <c r="HQ93" s="456" t="s">
        <v>116</v>
      </c>
      <c r="HR93" s="456" t="s">
        <v>116</v>
      </c>
      <c r="HS93" s="456" t="s">
        <v>116</v>
      </c>
      <c r="HT93" s="456" t="s">
        <v>116</v>
      </c>
      <c r="HU93" s="456" t="s">
        <v>116</v>
      </c>
      <c r="HV93" s="456" t="s">
        <v>116</v>
      </c>
      <c r="HW93" s="456" t="s">
        <v>116</v>
      </c>
      <c r="HX93" s="456" t="s">
        <v>116</v>
      </c>
      <c r="HY93" s="456" t="s">
        <v>116</v>
      </c>
      <c r="HZ93" s="456" t="s">
        <v>116</v>
      </c>
      <c r="IA93" s="456" t="s">
        <v>116</v>
      </c>
      <c r="IB93" s="456" t="s">
        <v>116</v>
      </c>
      <c r="IC93" s="456" t="s">
        <v>116</v>
      </c>
      <c r="ID93" s="456" t="s">
        <v>116</v>
      </c>
      <c r="IE93" s="456" t="s">
        <v>116</v>
      </c>
      <c r="IF93" s="456" t="s">
        <v>116</v>
      </c>
      <c r="IG93" s="456" t="s">
        <v>116</v>
      </c>
      <c r="IH93" s="456" t="s">
        <v>116</v>
      </c>
      <c r="II93" s="456" t="s">
        <v>116</v>
      </c>
      <c r="IJ93" s="456" t="s">
        <v>116</v>
      </c>
      <c r="IK93" s="456" t="s">
        <v>116</v>
      </c>
      <c r="IL93" s="456" t="s">
        <v>116</v>
      </c>
      <c r="IM93" s="456" t="s">
        <v>116</v>
      </c>
      <c r="IN93" s="456" t="s">
        <v>116</v>
      </c>
      <c r="IO93" s="456" t="s">
        <v>116</v>
      </c>
      <c r="IP93" s="456" t="s">
        <v>116</v>
      </c>
      <c r="IQ93" s="456" t="s">
        <v>116</v>
      </c>
      <c r="IR93" s="456" t="s">
        <v>116</v>
      </c>
      <c r="IS93" s="456" t="s">
        <v>116</v>
      </c>
      <c r="IT93" s="456" t="s">
        <v>116</v>
      </c>
      <c r="IU93" s="456" t="s">
        <v>116</v>
      </c>
      <c r="IV93" s="456" t="s">
        <v>116</v>
      </c>
      <c r="IW93" s="456" t="s">
        <v>116</v>
      </c>
      <c r="IX93" s="456" t="s">
        <v>116</v>
      </c>
      <c r="IY93" s="456" t="s">
        <v>116</v>
      </c>
      <c r="IZ93" s="456" t="s">
        <v>116</v>
      </c>
      <c r="JA93" s="456" t="s">
        <v>116</v>
      </c>
      <c r="JB93" s="456" t="s">
        <v>116</v>
      </c>
      <c r="JC93" s="456" t="s">
        <v>116</v>
      </c>
      <c r="JD93" s="456" t="s">
        <v>116</v>
      </c>
      <c r="JE93" s="456" t="s">
        <v>116</v>
      </c>
      <c r="JF93" s="456" t="s">
        <v>116</v>
      </c>
      <c r="JG93" s="456" t="s">
        <v>116</v>
      </c>
      <c r="JH93" s="456" t="s">
        <v>116</v>
      </c>
      <c r="JI93" s="456" t="s">
        <v>116</v>
      </c>
      <c r="JJ93" s="456" t="s">
        <v>116</v>
      </c>
      <c r="JK93" s="456" t="s">
        <v>116</v>
      </c>
      <c r="JL93" s="456" t="s">
        <v>116</v>
      </c>
      <c r="JM93" s="456" t="s">
        <v>116</v>
      </c>
      <c r="JN93" s="456" t="s">
        <v>116</v>
      </c>
      <c r="JO93" s="456" t="s">
        <v>116</v>
      </c>
      <c r="JP93" s="456" t="s">
        <v>116</v>
      </c>
      <c r="JQ93" s="456" t="s">
        <v>116</v>
      </c>
      <c r="JR93" s="456" t="s">
        <v>116</v>
      </c>
      <c r="JS93" s="456" t="s">
        <v>116</v>
      </c>
      <c r="JT93" s="456" t="s">
        <v>116</v>
      </c>
      <c r="JU93" s="456" t="s">
        <v>116</v>
      </c>
      <c r="JV93" s="456" t="s">
        <v>116</v>
      </c>
      <c r="JW93" s="456" t="s">
        <v>116</v>
      </c>
      <c r="JX93" s="456" t="s">
        <v>116</v>
      </c>
      <c r="JY93" s="456" t="s">
        <v>116</v>
      </c>
      <c r="JZ93" s="456" t="s">
        <v>116</v>
      </c>
      <c r="KA93" s="456" t="s">
        <v>116</v>
      </c>
      <c r="KB93" s="456" t="s">
        <v>116</v>
      </c>
      <c r="KC93" s="456" t="s">
        <v>116</v>
      </c>
      <c r="KD93" s="456" t="s">
        <v>116</v>
      </c>
      <c r="KE93" s="456" t="s">
        <v>116</v>
      </c>
      <c r="KF93" s="456" t="s">
        <v>116</v>
      </c>
      <c r="KG93" s="456" t="s">
        <v>116</v>
      </c>
      <c r="KH93" s="456" t="s">
        <v>116</v>
      </c>
      <c r="KI93" s="456" t="s">
        <v>116</v>
      </c>
      <c r="KJ93" s="456" t="s">
        <v>116</v>
      </c>
      <c r="KK93" s="456" t="s">
        <v>116</v>
      </c>
      <c r="KL93" s="456" t="s">
        <v>116</v>
      </c>
      <c r="KM93" s="456" t="s">
        <v>116</v>
      </c>
      <c r="KN93" s="456" t="s">
        <v>116</v>
      </c>
      <c r="KO93" s="456" t="s">
        <v>116</v>
      </c>
      <c r="KP93" s="456" t="s">
        <v>116</v>
      </c>
      <c r="KQ93" s="456" t="s">
        <v>116</v>
      </c>
      <c r="KR93" s="456" t="s">
        <v>116</v>
      </c>
      <c r="KS93" s="456" t="s">
        <v>116</v>
      </c>
      <c r="KT93" s="456" t="s">
        <v>116</v>
      </c>
      <c r="KU93" s="456" t="s">
        <v>116</v>
      </c>
      <c r="KV93" s="456" t="s">
        <v>116</v>
      </c>
      <c r="KW93" s="456" t="s">
        <v>116</v>
      </c>
      <c r="KX93" s="456" t="s">
        <v>116</v>
      </c>
      <c r="KY93" s="456" t="s">
        <v>116</v>
      </c>
      <c r="KZ93" s="456" t="s">
        <v>116</v>
      </c>
      <c r="LA93" s="456" t="s">
        <v>116</v>
      </c>
      <c r="LB93" s="456" t="s">
        <v>116</v>
      </c>
      <c r="LC93" s="456" t="s">
        <v>116</v>
      </c>
      <c r="LD93" s="456" t="s">
        <v>116</v>
      </c>
      <c r="LE93" s="456" t="s">
        <v>116</v>
      </c>
      <c r="LF93" s="456" t="s">
        <v>116</v>
      </c>
      <c r="LG93" s="456" t="s">
        <v>116</v>
      </c>
      <c r="LH93" s="456" t="s">
        <v>116</v>
      </c>
      <c r="LI93" s="456" t="s">
        <v>116</v>
      </c>
      <c r="LJ93" s="456" t="s">
        <v>116</v>
      </c>
      <c r="LK93" s="456" t="s">
        <v>116</v>
      </c>
      <c r="LL93" s="456" t="s">
        <v>116</v>
      </c>
      <c r="LM93" s="456" t="s">
        <v>116</v>
      </c>
      <c r="LN93" s="456" t="s">
        <v>116</v>
      </c>
      <c r="LO93" s="456" t="s">
        <v>116</v>
      </c>
      <c r="LP93" s="456" t="s">
        <v>116</v>
      </c>
      <c r="LQ93" s="456" t="s">
        <v>116</v>
      </c>
      <c r="LR93" s="456" t="s">
        <v>116</v>
      </c>
      <c r="LS93" s="456" t="s">
        <v>116</v>
      </c>
      <c r="LT93" s="456" t="s">
        <v>116</v>
      </c>
      <c r="LU93" s="456" t="s">
        <v>116</v>
      </c>
      <c r="LV93" s="456" t="s">
        <v>116</v>
      </c>
      <c r="LW93" s="456" t="s">
        <v>116</v>
      </c>
      <c r="LX93" s="456" t="s">
        <v>116</v>
      </c>
      <c r="LY93" s="456" t="s">
        <v>116</v>
      </c>
      <c r="LZ93" s="456" t="s">
        <v>116</v>
      </c>
      <c r="MA93" s="456" t="s">
        <v>116</v>
      </c>
      <c r="MB93" s="456" t="s">
        <v>116</v>
      </c>
      <c r="MC93" s="456" t="s">
        <v>116</v>
      </c>
      <c r="MD93" s="456" t="s">
        <v>116</v>
      </c>
      <c r="ME93" s="456" t="s">
        <v>116</v>
      </c>
      <c r="MF93" s="456" t="s">
        <v>116</v>
      </c>
      <c r="MG93" s="456" t="s">
        <v>116</v>
      </c>
      <c r="MH93" s="456" t="s">
        <v>116</v>
      </c>
      <c r="MI93" s="456" t="s">
        <v>116</v>
      </c>
      <c r="MJ93" s="456" t="s">
        <v>116</v>
      </c>
      <c r="MK93" s="456" t="s">
        <v>116</v>
      </c>
      <c r="ML93" s="456" t="s">
        <v>116</v>
      </c>
      <c r="MM93" s="456" t="s">
        <v>116</v>
      </c>
      <c r="MN93" s="456" t="s">
        <v>116</v>
      </c>
      <c r="MO93" s="456" t="s">
        <v>116</v>
      </c>
      <c r="MP93" s="456" t="s">
        <v>116</v>
      </c>
      <c r="MQ93" s="456" t="s">
        <v>116</v>
      </c>
      <c r="MR93" s="456" t="s">
        <v>116</v>
      </c>
      <c r="MS93" s="456" t="s">
        <v>116</v>
      </c>
      <c r="MT93" s="456" t="s">
        <v>116</v>
      </c>
      <c r="MU93" s="456" t="s">
        <v>116</v>
      </c>
      <c r="MV93" s="456" t="s">
        <v>116</v>
      </c>
      <c r="MW93" s="456" t="s">
        <v>116</v>
      </c>
      <c r="MX93" s="456" t="s">
        <v>116</v>
      </c>
      <c r="MY93" s="456" t="s">
        <v>116</v>
      </c>
      <c r="MZ93" s="456" t="s">
        <v>116</v>
      </c>
      <c r="NA93" s="456" t="s">
        <v>116</v>
      </c>
      <c r="NB93" s="456" t="s">
        <v>116</v>
      </c>
      <c r="NC93" s="456" t="s">
        <v>116</v>
      </c>
      <c r="ND93" s="456" t="s">
        <v>116</v>
      </c>
      <c r="NE93" s="456" t="s">
        <v>116</v>
      </c>
      <c r="NF93" s="456" t="s">
        <v>116</v>
      </c>
      <c r="NG93" s="456" t="s">
        <v>116</v>
      </c>
      <c r="NH93" s="456" t="s">
        <v>116</v>
      </c>
      <c r="NI93" s="456" t="s">
        <v>116</v>
      </c>
      <c r="NJ93" s="456" t="s">
        <v>116</v>
      </c>
      <c r="NK93" s="456" t="s">
        <v>116</v>
      </c>
      <c r="NL93" s="456" t="s">
        <v>116</v>
      </c>
      <c r="NM93" s="456" t="s">
        <v>116</v>
      </c>
      <c r="NN93" s="456" t="s">
        <v>116</v>
      </c>
      <c r="NO93" s="456" t="s">
        <v>116</v>
      </c>
      <c r="NP93" s="456" t="s">
        <v>116</v>
      </c>
      <c r="NQ93" s="456" t="s">
        <v>116</v>
      </c>
      <c r="NR93" s="456" t="s">
        <v>116</v>
      </c>
      <c r="NS93" s="456" t="s">
        <v>116</v>
      </c>
      <c r="NT93" s="456" t="s">
        <v>116</v>
      </c>
      <c r="NU93" s="456" t="s">
        <v>116</v>
      </c>
      <c r="NV93" s="456" t="s">
        <v>116</v>
      </c>
      <c r="NW93" s="456" t="s">
        <v>116</v>
      </c>
      <c r="NX93" s="456" t="s">
        <v>116</v>
      </c>
      <c r="NY93" s="456" t="s">
        <v>116</v>
      </c>
      <c r="NZ93" s="456" t="s">
        <v>116</v>
      </c>
      <c r="OA93" s="456" t="s">
        <v>116</v>
      </c>
      <c r="OB93" s="456" t="s">
        <v>116</v>
      </c>
      <c r="OC93" s="456" t="s">
        <v>116</v>
      </c>
      <c r="OD93" s="456" t="s">
        <v>116</v>
      </c>
      <c r="OE93" s="456" t="s">
        <v>116</v>
      </c>
      <c r="OF93" s="456" t="s">
        <v>116</v>
      </c>
      <c r="OG93" s="456" t="s">
        <v>116</v>
      </c>
      <c r="OH93" s="456" t="s">
        <v>116</v>
      </c>
      <c r="OI93" s="456" t="s">
        <v>116</v>
      </c>
      <c r="OJ93" s="456" t="s">
        <v>116</v>
      </c>
      <c r="OK93" s="456" t="s">
        <v>116</v>
      </c>
      <c r="OL93" s="456" t="s">
        <v>116</v>
      </c>
      <c r="OM93" s="456" t="s">
        <v>116</v>
      </c>
      <c r="ON93" s="456" t="s">
        <v>116</v>
      </c>
      <c r="OO93" s="456" t="s">
        <v>116</v>
      </c>
      <c r="OP93" s="456" t="s">
        <v>116</v>
      </c>
      <c r="OQ93" s="456" t="s">
        <v>116</v>
      </c>
      <c r="OR93" s="456" t="s">
        <v>116</v>
      </c>
      <c r="OS93" s="456" t="s">
        <v>116</v>
      </c>
      <c r="OT93" s="456" t="s">
        <v>116</v>
      </c>
      <c r="OU93" s="456" t="s">
        <v>116</v>
      </c>
      <c r="OV93" s="456" t="s">
        <v>116</v>
      </c>
      <c r="OW93" s="456" t="s">
        <v>116</v>
      </c>
      <c r="OX93" s="456" t="s">
        <v>116</v>
      </c>
      <c r="OY93" s="456" t="s">
        <v>116</v>
      </c>
      <c r="OZ93" s="456" t="s">
        <v>116</v>
      </c>
      <c r="PA93" s="456" t="s">
        <v>116</v>
      </c>
      <c r="PB93" s="456" t="s">
        <v>116</v>
      </c>
      <c r="PC93" s="456" t="s">
        <v>116</v>
      </c>
      <c r="PD93" s="456" t="s">
        <v>116</v>
      </c>
      <c r="PE93" s="456" t="s">
        <v>116</v>
      </c>
      <c r="PF93" s="456" t="s">
        <v>116</v>
      </c>
      <c r="PG93" s="456" t="s">
        <v>116</v>
      </c>
      <c r="PH93" s="456" t="s">
        <v>116</v>
      </c>
      <c r="PI93" s="456" t="s">
        <v>116</v>
      </c>
      <c r="PJ93" s="456" t="s">
        <v>116</v>
      </c>
      <c r="PK93" s="456" t="s">
        <v>116</v>
      </c>
      <c r="PL93" s="456" t="s">
        <v>116</v>
      </c>
      <c r="PM93" s="456" t="s">
        <v>116</v>
      </c>
      <c r="PN93" s="456" t="s">
        <v>116</v>
      </c>
      <c r="PO93" s="456" t="s">
        <v>116</v>
      </c>
      <c r="PP93" s="456" t="s">
        <v>116</v>
      </c>
      <c r="PQ93" s="456" t="s">
        <v>116</v>
      </c>
      <c r="PR93" s="456" t="s">
        <v>116</v>
      </c>
      <c r="PS93" s="456" t="s">
        <v>116</v>
      </c>
      <c r="PT93" s="456" t="s">
        <v>116</v>
      </c>
      <c r="PU93" s="456" t="s">
        <v>116</v>
      </c>
      <c r="PV93" s="456" t="s">
        <v>116</v>
      </c>
      <c r="PW93" s="456" t="s">
        <v>116</v>
      </c>
      <c r="PX93" s="456" t="s">
        <v>116</v>
      </c>
      <c r="PY93" s="456" t="s">
        <v>116</v>
      </c>
      <c r="PZ93" s="456" t="s">
        <v>116</v>
      </c>
      <c r="QA93" s="456" t="s">
        <v>116</v>
      </c>
      <c r="QB93" s="456" t="s">
        <v>116</v>
      </c>
      <c r="QC93" s="456" t="s">
        <v>116</v>
      </c>
      <c r="QD93" s="456" t="s">
        <v>116</v>
      </c>
      <c r="QE93" s="456" t="s">
        <v>116</v>
      </c>
      <c r="QF93" s="456" t="s">
        <v>116</v>
      </c>
      <c r="QG93" s="456" t="s">
        <v>116</v>
      </c>
      <c r="QH93" s="456" t="s">
        <v>116</v>
      </c>
      <c r="QI93" s="456" t="s">
        <v>116</v>
      </c>
      <c r="QJ93" s="456" t="s">
        <v>116</v>
      </c>
      <c r="QK93" s="456" t="s">
        <v>116</v>
      </c>
      <c r="QL93" s="456" t="s">
        <v>116</v>
      </c>
      <c r="QM93" s="456" t="s">
        <v>116</v>
      </c>
      <c r="QN93" s="456" t="s">
        <v>116</v>
      </c>
      <c r="QO93" s="456" t="s">
        <v>116</v>
      </c>
      <c r="QP93" s="456" t="s">
        <v>116</v>
      </c>
      <c r="QQ93" s="456" t="s">
        <v>116</v>
      </c>
      <c r="QR93" s="456" t="s">
        <v>116</v>
      </c>
      <c r="QS93" s="456" t="s">
        <v>116</v>
      </c>
      <c r="QT93" s="456" t="s">
        <v>116</v>
      </c>
      <c r="QU93" s="456" t="s">
        <v>116</v>
      </c>
      <c r="QV93" s="456" t="s">
        <v>116</v>
      </c>
      <c r="QW93" s="456" t="s">
        <v>116</v>
      </c>
      <c r="QX93" s="456" t="s">
        <v>116</v>
      </c>
      <c r="QY93" s="456" t="s">
        <v>116</v>
      </c>
      <c r="QZ93" s="456" t="s">
        <v>116</v>
      </c>
      <c r="RA93" s="456" t="s">
        <v>116</v>
      </c>
      <c r="RB93" s="456" t="s">
        <v>116</v>
      </c>
      <c r="RC93" s="456" t="s">
        <v>116</v>
      </c>
      <c r="RD93" s="456" t="s">
        <v>116</v>
      </c>
      <c r="RE93" s="456" t="s">
        <v>116</v>
      </c>
      <c r="RF93" s="456" t="s">
        <v>116</v>
      </c>
      <c r="RG93" s="456" t="s">
        <v>116</v>
      </c>
      <c r="RH93" s="456" t="s">
        <v>116</v>
      </c>
      <c r="RI93" s="456" t="s">
        <v>116</v>
      </c>
      <c r="RJ93" s="456" t="s">
        <v>116</v>
      </c>
      <c r="RK93" s="456" t="s">
        <v>116</v>
      </c>
      <c r="RL93" s="456" t="s">
        <v>116</v>
      </c>
      <c r="RM93" s="456" t="s">
        <v>116</v>
      </c>
      <c r="RN93" s="456" t="s">
        <v>116</v>
      </c>
      <c r="RO93" s="456" t="s">
        <v>116</v>
      </c>
      <c r="RP93" s="456" t="s">
        <v>116</v>
      </c>
      <c r="RQ93" s="456" t="s">
        <v>116</v>
      </c>
      <c r="RR93" s="456" t="s">
        <v>116</v>
      </c>
      <c r="RS93" s="456" t="s">
        <v>116</v>
      </c>
      <c r="RT93" s="456" t="s">
        <v>116</v>
      </c>
      <c r="RU93" s="456" t="s">
        <v>116</v>
      </c>
      <c r="RV93" s="456" t="s">
        <v>116</v>
      </c>
      <c r="RW93" s="456" t="s">
        <v>116</v>
      </c>
      <c r="RX93" s="456" t="s">
        <v>116</v>
      </c>
      <c r="RY93" s="456" t="s">
        <v>116</v>
      </c>
      <c r="RZ93" s="456" t="s">
        <v>116</v>
      </c>
      <c r="SA93" s="456" t="s">
        <v>116</v>
      </c>
      <c r="SB93" s="456" t="s">
        <v>116</v>
      </c>
      <c r="SC93" s="456" t="s">
        <v>116</v>
      </c>
      <c r="SD93" s="456" t="s">
        <v>116</v>
      </c>
      <c r="SE93" s="456" t="s">
        <v>116</v>
      </c>
      <c r="SF93" s="456" t="s">
        <v>116</v>
      </c>
      <c r="SG93" s="456" t="s">
        <v>116</v>
      </c>
      <c r="SH93" s="456" t="s">
        <v>116</v>
      </c>
      <c r="SI93" s="456" t="s">
        <v>116</v>
      </c>
      <c r="SJ93" s="456" t="s">
        <v>116</v>
      </c>
      <c r="SK93" s="456" t="s">
        <v>116</v>
      </c>
      <c r="SL93" s="456" t="s">
        <v>116</v>
      </c>
      <c r="SM93" s="456" t="s">
        <v>116</v>
      </c>
      <c r="SN93" s="456" t="s">
        <v>116</v>
      </c>
      <c r="SO93" s="456" t="s">
        <v>116</v>
      </c>
      <c r="SP93" s="456" t="s">
        <v>116</v>
      </c>
      <c r="SQ93" s="456" t="s">
        <v>116</v>
      </c>
      <c r="SR93" s="456" t="s">
        <v>116</v>
      </c>
      <c r="SS93" s="456" t="s">
        <v>116</v>
      </c>
      <c r="ST93" s="456" t="s">
        <v>116</v>
      </c>
      <c r="SU93" s="456" t="s">
        <v>116</v>
      </c>
      <c r="SV93" s="456" t="s">
        <v>116</v>
      </c>
      <c r="SW93" s="456" t="s">
        <v>116</v>
      </c>
      <c r="SX93" s="456" t="s">
        <v>116</v>
      </c>
      <c r="SY93" s="456" t="s">
        <v>116</v>
      </c>
      <c r="SZ93" s="456" t="s">
        <v>116</v>
      </c>
      <c r="TA93" s="456" t="s">
        <v>116</v>
      </c>
      <c r="TB93" s="456" t="s">
        <v>116</v>
      </c>
      <c r="TC93" s="456" t="s">
        <v>116</v>
      </c>
      <c r="TD93" s="456" t="s">
        <v>116</v>
      </c>
      <c r="TE93" s="456" t="s">
        <v>116</v>
      </c>
      <c r="TF93" s="456" t="s">
        <v>116</v>
      </c>
      <c r="TG93" s="456" t="s">
        <v>116</v>
      </c>
      <c r="TH93" s="456" t="s">
        <v>116</v>
      </c>
      <c r="TI93" s="456" t="s">
        <v>116</v>
      </c>
      <c r="TJ93" s="456" t="s">
        <v>116</v>
      </c>
      <c r="TK93" s="456" t="s">
        <v>116</v>
      </c>
      <c r="TL93" s="456" t="s">
        <v>116</v>
      </c>
      <c r="TM93" s="456" t="s">
        <v>116</v>
      </c>
      <c r="TN93" s="456" t="s">
        <v>116</v>
      </c>
      <c r="TO93" s="456" t="s">
        <v>116</v>
      </c>
      <c r="TP93" s="456" t="s">
        <v>116</v>
      </c>
      <c r="TQ93" s="456" t="s">
        <v>116</v>
      </c>
      <c r="TR93" s="456" t="s">
        <v>116</v>
      </c>
      <c r="TS93" s="456" t="s">
        <v>116</v>
      </c>
      <c r="TT93" s="456" t="s">
        <v>116</v>
      </c>
      <c r="TU93" s="456" t="s">
        <v>116</v>
      </c>
      <c r="TV93" s="456" t="s">
        <v>116</v>
      </c>
      <c r="TW93" s="456" t="s">
        <v>116</v>
      </c>
      <c r="TX93" s="456" t="s">
        <v>116</v>
      </c>
      <c r="TY93" s="456" t="s">
        <v>116</v>
      </c>
      <c r="TZ93" s="456" t="s">
        <v>116</v>
      </c>
      <c r="UA93" s="456" t="s">
        <v>116</v>
      </c>
      <c r="UB93" s="456" t="s">
        <v>116</v>
      </c>
      <c r="UC93" s="456" t="s">
        <v>116</v>
      </c>
      <c r="UD93" s="456" t="s">
        <v>116</v>
      </c>
      <c r="UE93" s="456" t="s">
        <v>116</v>
      </c>
      <c r="UF93" s="456" t="s">
        <v>116</v>
      </c>
      <c r="UG93" s="456" t="s">
        <v>116</v>
      </c>
      <c r="UH93" s="456" t="s">
        <v>116</v>
      </c>
      <c r="UI93" s="456" t="s">
        <v>116</v>
      </c>
      <c r="UJ93" s="456" t="s">
        <v>116</v>
      </c>
      <c r="UK93" s="456" t="s">
        <v>116</v>
      </c>
      <c r="UL93" s="456" t="s">
        <v>116</v>
      </c>
      <c r="UM93" s="456" t="s">
        <v>116</v>
      </c>
      <c r="UN93" s="456" t="s">
        <v>116</v>
      </c>
      <c r="UO93" s="456" t="s">
        <v>116</v>
      </c>
      <c r="UP93" s="456" t="s">
        <v>116</v>
      </c>
      <c r="UQ93" s="456" t="s">
        <v>116</v>
      </c>
      <c r="UR93" s="456" t="s">
        <v>116</v>
      </c>
      <c r="US93" s="456" t="s">
        <v>116</v>
      </c>
      <c r="UT93" s="456" t="s">
        <v>116</v>
      </c>
      <c r="UU93" s="456" t="s">
        <v>116</v>
      </c>
      <c r="UV93" s="456" t="s">
        <v>116</v>
      </c>
      <c r="UW93" s="456" t="s">
        <v>116</v>
      </c>
      <c r="UX93" s="456" t="s">
        <v>116</v>
      </c>
      <c r="UY93" s="456" t="s">
        <v>116</v>
      </c>
      <c r="UZ93" s="456" t="s">
        <v>116</v>
      </c>
      <c r="VA93" s="456" t="s">
        <v>116</v>
      </c>
      <c r="VB93" s="456" t="s">
        <v>116</v>
      </c>
      <c r="VC93" s="456" t="s">
        <v>116</v>
      </c>
      <c r="VD93" s="456" t="s">
        <v>116</v>
      </c>
      <c r="VE93" s="456" t="s">
        <v>116</v>
      </c>
      <c r="VF93" s="456" t="s">
        <v>116</v>
      </c>
      <c r="VG93" s="456" t="s">
        <v>116</v>
      </c>
      <c r="VH93" s="456" t="s">
        <v>116</v>
      </c>
      <c r="VI93" s="456" t="s">
        <v>116</v>
      </c>
      <c r="VJ93" s="456" t="s">
        <v>116</v>
      </c>
      <c r="VK93" s="456" t="s">
        <v>116</v>
      </c>
      <c r="VL93" s="456" t="s">
        <v>116</v>
      </c>
      <c r="VM93" s="456" t="s">
        <v>116</v>
      </c>
      <c r="VN93" s="456" t="s">
        <v>116</v>
      </c>
      <c r="VO93" s="456" t="s">
        <v>116</v>
      </c>
      <c r="VP93" s="456" t="s">
        <v>116</v>
      </c>
      <c r="VQ93" s="456" t="s">
        <v>116</v>
      </c>
      <c r="VR93" s="456" t="s">
        <v>116</v>
      </c>
      <c r="VS93" s="456" t="s">
        <v>116</v>
      </c>
      <c r="VT93" s="456" t="s">
        <v>116</v>
      </c>
      <c r="VU93" s="456" t="s">
        <v>116</v>
      </c>
      <c r="VV93" s="456" t="s">
        <v>116</v>
      </c>
      <c r="VW93" s="456" t="s">
        <v>116</v>
      </c>
      <c r="VX93" s="456" t="s">
        <v>116</v>
      </c>
      <c r="VY93" s="456" t="s">
        <v>116</v>
      </c>
      <c r="VZ93" s="456" t="s">
        <v>116</v>
      </c>
      <c r="WA93" s="456" t="s">
        <v>116</v>
      </c>
      <c r="WB93" s="456" t="s">
        <v>116</v>
      </c>
      <c r="WC93" s="456" t="s">
        <v>116</v>
      </c>
      <c r="WD93" s="456" t="s">
        <v>116</v>
      </c>
      <c r="WE93" s="456" t="s">
        <v>116</v>
      </c>
      <c r="WF93" s="456" t="s">
        <v>116</v>
      </c>
      <c r="WG93" s="456" t="s">
        <v>116</v>
      </c>
      <c r="WH93" s="456" t="s">
        <v>116</v>
      </c>
      <c r="WI93" s="456" t="s">
        <v>116</v>
      </c>
      <c r="WJ93" s="456" t="s">
        <v>116</v>
      </c>
      <c r="WK93" s="456" t="s">
        <v>116</v>
      </c>
      <c r="WL93" s="456" t="s">
        <v>116</v>
      </c>
      <c r="WM93" s="456" t="s">
        <v>116</v>
      </c>
      <c r="WN93" s="456" t="s">
        <v>116</v>
      </c>
      <c r="WO93" s="456" t="s">
        <v>116</v>
      </c>
      <c r="WP93" s="456" t="s">
        <v>116</v>
      </c>
      <c r="WQ93" s="456" t="s">
        <v>116</v>
      </c>
      <c r="WR93" s="456" t="s">
        <v>116</v>
      </c>
      <c r="WS93" s="456" t="s">
        <v>116</v>
      </c>
      <c r="WT93" s="456" t="s">
        <v>116</v>
      </c>
      <c r="WU93" s="456" t="s">
        <v>116</v>
      </c>
      <c r="WV93" s="456" t="s">
        <v>116</v>
      </c>
      <c r="WW93" s="456" t="s">
        <v>116</v>
      </c>
      <c r="WX93" s="456" t="s">
        <v>116</v>
      </c>
      <c r="WY93" s="456" t="s">
        <v>116</v>
      </c>
      <c r="WZ93" s="456" t="s">
        <v>116</v>
      </c>
      <c r="XA93" s="456" t="s">
        <v>116</v>
      </c>
      <c r="XB93" s="456" t="s">
        <v>116</v>
      </c>
      <c r="XC93" s="456" t="s">
        <v>116</v>
      </c>
      <c r="XD93" s="456" t="s">
        <v>116</v>
      </c>
      <c r="XE93" s="456" t="s">
        <v>116</v>
      </c>
      <c r="XF93" s="456" t="s">
        <v>116</v>
      </c>
      <c r="XG93" s="456" t="s">
        <v>116</v>
      </c>
      <c r="XH93" s="456" t="s">
        <v>116</v>
      </c>
      <c r="XI93" s="456" t="s">
        <v>116</v>
      </c>
      <c r="XJ93" s="456" t="s">
        <v>116</v>
      </c>
      <c r="XK93" s="456" t="s">
        <v>116</v>
      </c>
      <c r="XL93" s="456" t="s">
        <v>116</v>
      </c>
      <c r="XM93" s="456" t="s">
        <v>116</v>
      </c>
      <c r="XN93" s="456" t="s">
        <v>116</v>
      </c>
      <c r="XO93" s="456" t="s">
        <v>116</v>
      </c>
      <c r="XP93" s="456" t="s">
        <v>116</v>
      </c>
      <c r="XQ93" s="456" t="s">
        <v>116</v>
      </c>
      <c r="XR93" s="456" t="s">
        <v>116</v>
      </c>
      <c r="XS93" s="456" t="s">
        <v>116</v>
      </c>
      <c r="XT93" s="456" t="s">
        <v>116</v>
      </c>
      <c r="XU93" s="456" t="s">
        <v>116</v>
      </c>
      <c r="XV93" s="456" t="s">
        <v>116</v>
      </c>
      <c r="XW93" s="456" t="s">
        <v>116</v>
      </c>
      <c r="XX93" s="456" t="s">
        <v>116</v>
      </c>
      <c r="XY93" s="456" t="s">
        <v>116</v>
      </c>
      <c r="XZ93" s="456" t="s">
        <v>116</v>
      </c>
      <c r="YA93" s="456" t="s">
        <v>116</v>
      </c>
      <c r="YB93" s="456" t="s">
        <v>116</v>
      </c>
      <c r="YC93" s="456" t="s">
        <v>116</v>
      </c>
      <c r="YD93" s="456" t="s">
        <v>116</v>
      </c>
      <c r="YE93" s="456" t="s">
        <v>116</v>
      </c>
      <c r="YF93" s="456" t="s">
        <v>116</v>
      </c>
      <c r="YG93" s="456" t="s">
        <v>116</v>
      </c>
      <c r="YH93" s="456" t="s">
        <v>116</v>
      </c>
      <c r="YI93" s="456" t="s">
        <v>116</v>
      </c>
      <c r="YJ93" s="456" t="s">
        <v>116</v>
      </c>
      <c r="YK93" s="456" t="s">
        <v>116</v>
      </c>
      <c r="YL93" s="456" t="s">
        <v>116</v>
      </c>
      <c r="YM93" s="456" t="s">
        <v>116</v>
      </c>
      <c r="YN93" s="456" t="s">
        <v>116</v>
      </c>
      <c r="YO93" s="456" t="s">
        <v>116</v>
      </c>
      <c r="YP93" s="456" t="s">
        <v>116</v>
      </c>
      <c r="YQ93" s="456" t="s">
        <v>116</v>
      </c>
      <c r="YR93" s="456" t="s">
        <v>116</v>
      </c>
      <c r="YS93" s="456" t="s">
        <v>116</v>
      </c>
      <c r="YT93" s="456" t="s">
        <v>116</v>
      </c>
      <c r="YU93" s="456" t="s">
        <v>116</v>
      </c>
      <c r="YV93" s="456" t="s">
        <v>116</v>
      </c>
      <c r="YW93" s="456" t="s">
        <v>116</v>
      </c>
      <c r="YX93" s="456" t="s">
        <v>116</v>
      </c>
      <c r="YY93" s="456" t="s">
        <v>116</v>
      </c>
      <c r="YZ93" s="456" t="s">
        <v>116</v>
      </c>
      <c r="ZA93" s="456" t="s">
        <v>116</v>
      </c>
      <c r="ZB93" s="456" t="s">
        <v>116</v>
      </c>
      <c r="ZC93" s="456" t="s">
        <v>116</v>
      </c>
      <c r="ZD93" s="456" t="s">
        <v>116</v>
      </c>
      <c r="ZE93" s="456" t="s">
        <v>116</v>
      </c>
      <c r="ZF93" s="456" t="s">
        <v>116</v>
      </c>
      <c r="ZG93" s="456" t="s">
        <v>116</v>
      </c>
      <c r="ZH93" s="456" t="s">
        <v>116</v>
      </c>
      <c r="ZI93" s="456" t="s">
        <v>116</v>
      </c>
      <c r="ZJ93" s="456" t="s">
        <v>116</v>
      </c>
      <c r="ZK93" s="456" t="s">
        <v>116</v>
      </c>
      <c r="ZL93" s="456" t="s">
        <v>116</v>
      </c>
      <c r="ZM93" s="456" t="s">
        <v>116</v>
      </c>
      <c r="ZN93" s="456" t="s">
        <v>116</v>
      </c>
      <c r="ZO93" s="456" t="s">
        <v>116</v>
      </c>
      <c r="ZP93" s="456" t="s">
        <v>116</v>
      </c>
      <c r="ZQ93" s="456" t="s">
        <v>116</v>
      </c>
      <c r="ZR93" s="456" t="s">
        <v>116</v>
      </c>
      <c r="ZS93" s="456" t="s">
        <v>116</v>
      </c>
      <c r="ZT93" s="456" t="s">
        <v>116</v>
      </c>
      <c r="ZU93" s="456" t="s">
        <v>116</v>
      </c>
      <c r="ZV93" s="456" t="s">
        <v>116</v>
      </c>
      <c r="ZW93" s="456" t="s">
        <v>116</v>
      </c>
      <c r="ZX93" s="456" t="s">
        <v>116</v>
      </c>
      <c r="ZY93" s="456" t="s">
        <v>116</v>
      </c>
      <c r="ZZ93" s="456" t="s">
        <v>116</v>
      </c>
      <c r="AAA93" s="456" t="s">
        <v>116</v>
      </c>
      <c r="AAB93" s="456" t="s">
        <v>116</v>
      </c>
      <c r="AAC93" s="456" t="s">
        <v>116</v>
      </c>
      <c r="AAD93" s="456" t="s">
        <v>116</v>
      </c>
      <c r="AAE93" s="456" t="s">
        <v>116</v>
      </c>
      <c r="AAF93" s="456" t="s">
        <v>116</v>
      </c>
      <c r="AAG93" s="456" t="s">
        <v>116</v>
      </c>
      <c r="AAH93" s="456" t="s">
        <v>116</v>
      </c>
      <c r="AAI93" s="456" t="s">
        <v>116</v>
      </c>
      <c r="AAJ93" s="456" t="s">
        <v>116</v>
      </c>
      <c r="AAK93" s="456" t="s">
        <v>116</v>
      </c>
      <c r="AAL93" s="456" t="s">
        <v>116</v>
      </c>
      <c r="AAM93" s="456" t="s">
        <v>116</v>
      </c>
      <c r="AAN93" s="456" t="s">
        <v>116</v>
      </c>
      <c r="AAO93" s="456" t="s">
        <v>116</v>
      </c>
      <c r="AAP93" s="456" t="s">
        <v>116</v>
      </c>
      <c r="AAQ93" s="456" t="s">
        <v>116</v>
      </c>
      <c r="AAR93" s="456" t="s">
        <v>116</v>
      </c>
      <c r="AAS93" s="456" t="s">
        <v>116</v>
      </c>
      <c r="AAT93" s="456" t="s">
        <v>116</v>
      </c>
      <c r="AAU93" s="456" t="s">
        <v>116</v>
      </c>
      <c r="AAV93" s="456" t="s">
        <v>116</v>
      </c>
      <c r="AAW93" s="456" t="s">
        <v>116</v>
      </c>
      <c r="AAX93" s="456" t="s">
        <v>116</v>
      </c>
      <c r="AAY93" s="456" t="s">
        <v>116</v>
      </c>
      <c r="AAZ93" s="456" t="s">
        <v>116</v>
      </c>
      <c r="ABA93" s="456" t="s">
        <v>116</v>
      </c>
      <c r="ABB93" s="456" t="s">
        <v>116</v>
      </c>
      <c r="ABC93" s="456" t="s">
        <v>116</v>
      </c>
      <c r="ABD93" s="456" t="s">
        <v>116</v>
      </c>
      <c r="ABE93" s="456" t="s">
        <v>116</v>
      </c>
      <c r="ABF93" s="456" t="s">
        <v>116</v>
      </c>
      <c r="ABG93" s="456" t="s">
        <v>116</v>
      </c>
      <c r="ABH93" s="456" t="s">
        <v>116</v>
      </c>
      <c r="ABI93" s="456" t="s">
        <v>116</v>
      </c>
      <c r="ABJ93" s="456" t="s">
        <v>116</v>
      </c>
      <c r="ABK93" s="456" t="s">
        <v>116</v>
      </c>
      <c r="ABL93" s="456" t="s">
        <v>116</v>
      </c>
      <c r="ABM93" s="456" t="s">
        <v>116</v>
      </c>
      <c r="ABN93" s="456" t="s">
        <v>116</v>
      </c>
      <c r="ABO93" s="456" t="s">
        <v>116</v>
      </c>
      <c r="ABP93" s="456" t="s">
        <v>116</v>
      </c>
      <c r="ABQ93" s="456" t="s">
        <v>116</v>
      </c>
      <c r="ABR93" s="456" t="s">
        <v>116</v>
      </c>
      <c r="ABS93" s="456" t="s">
        <v>116</v>
      </c>
      <c r="ABT93" s="456" t="s">
        <v>116</v>
      </c>
      <c r="ABU93" s="456" t="s">
        <v>116</v>
      </c>
      <c r="ABV93" s="456" t="s">
        <v>116</v>
      </c>
      <c r="ABW93" s="456" t="s">
        <v>116</v>
      </c>
      <c r="ABX93" s="456" t="s">
        <v>116</v>
      </c>
      <c r="ABY93" s="456" t="s">
        <v>116</v>
      </c>
      <c r="ABZ93" s="456" t="s">
        <v>116</v>
      </c>
      <c r="ACA93" s="456" t="s">
        <v>116</v>
      </c>
      <c r="ACB93" s="456" t="s">
        <v>116</v>
      </c>
      <c r="ACC93" s="456" t="s">
        <v>116</v>
      </c>
      <c r="ACD93" s="456" t="s">
        <v>116</v>
      </c>
      <c r="ACE93" s="456" t="s">
        <v>116</v>
      </c>
      <c r="ACF93" s="456" t="s">
        <v>116</v>
      </c>
      <c r="ACG93" s="456" t="s">
        <v>116</v>
      </c>
      <c r="ACH93" s="456" t="s">
        <v>116</v>
      </c>
      <c r="ACI93" s="456" t="s">
        <v>116</v>
      </c>
      <c r="ACJ93" s="456" t="s">
        <v>116</v>
      </c>
      <c r="ACK93" s="456" t="s">
        <v>116</v>
      </c>
      <c r="ACL93" s="456" t="s">
        <v>116</v>
      </c>
      <c r="ACM93" s="456" t="s">
        <v>116</v>
      </c>
      <c r="ACN93" s="456" t="s">
        <v>116</v>
      </c>
      <c r="ACO93" s="456" t="s">
        <v>116</v>
      </c>
      <c r="ACP93" s="456" t="s">
        <v>116</v>
      </c>
      <c r="ACQ93" s="456" t="s">
        <v>116</v>
      </c>
      <c r="ACR93" s="456" t="s">
        <v>116</v>
      </c>
      <c r="ACS93" s="456" t="s">
        <v>116</v>
      </c>
      <c r="ACT93" s="456" t="s">
        <v>116</v>
      </c>
      <c r="ACU93" s="456" t="s">
        <v>116</v>
      </c>
      <c r="ACV93" s="456" t="s">
        <v>116</v>
      </c>
      <c r="ACW93" s="456" t="s">
        <v>116</v>
      </c>
      <c r="ACX93" s="456" t="s">
        <v>116</v>
      </c>
      <c r="ACY93" s="456" t="s">
        <v>116</v>
      </c>
      <c r="ACZ93" s="456" t="s">
        <v>116</v>
      </c>
      <c r="ADA93" s="456" t="s">
        <v>116</v>
      </c>
      <c r="ADB93" s="456" t="s">
        <v>116</v>
      </c>
      <c r="ADC93" s="456" t="s">
        <v>116</v>
      </c>
      <c r="ADD93" s="456" t="s">
        <v>116</v>
      </c>
      <c r="ADE93" s="456" t="s">
        <v>116</v>
      </c>
      <c r="ADF93" s="456" t="s">
        <v>116</v>
      </c>
      <c r="ADG93" s="456" t="s">
        <v>116</v>
      </c>
      <c r="ADH93" s="456" t="s">
        <v>116</v>
      </c>
      <c r="ADI93" s="456" t="s">
        <v>116</v>
      </c>
      <c r="ADJ93" s="456" t="s">
        <v>116</v>
      </c>
      <c r="ADK93" s="456" t="s">
        <v>116</v>
      </c>
      <c r="ADL93" s="456" t="s">
        <v>116</v>
      </c>
      <c r="ADM93" s="456" t="s">
        <v>116</v>
      </c>
      <c r="ADN93" s="456" t="s">
        <v>116</v>
      </c>
      <c r="ADO93" s="456" t="s">
        <v>116</v>
      </c>
      <c r="ADP93" s="456" t="s">
        <v>116</v>
      </c>
      <c r="ADQ93" s="456" t="s">
        <v>116</v>
      </c>
      <c r="ADR93" s="456" t="s">
        <v>116</v>
      </c>
      <c r="ADS93" s="456" t="s">
        <v>116</v>
      </c>
      <c r="ADT93" s="456" t="s">
        <v>116</v>
      </c>
      <c r="ADU93" s="456" t="s">
        <v>116</v>
      </c>
      <c r="ADV93" s="456" t="s">
        <v>116</v>
      </c>
      <c r="ADW93" s="456" t="s">
        <v>116</v>
      </c>
      <c r="ADX93" s="456" t="s">
        <v>116</v>
      </c>
      <c r="ADY93" s="456" t="s">
        <v>116</v>
      </c>
      <c r="ADZ93" s="456" t="s">
        <v>116</v>
      </c>
      <c r="AEA93" s="456" t="s">
        <v>116</v>
      </c>
      <c r="AEB93" s="456" t="s">
        <v>116</v>
      </c>
      <c r="AEC93" s="456" t="s">
        <v>116</v>
      </c>
      <c r="AED93" s="456" t="s">
        <v>116</v>
      </c>
      <c r="AEE93" s="456" t="s">
        <v>116</v>
      </c>
      <c r="AEF93" s="456" t="s">
        <v>116</v>
      </c>
      <c r="AEG93" s="456" t="s">
        <v>116</v>
      </c>
      <c r="AEH93" s="456" t="s">
        <v>116</v>
      </c>
      <c r="AEI93" s="456" t="s">
        <v>116</v>
      </c>
      <c r="AEJ93" s="456" t="s">
        <v>116</v>
      </c>
      <c r="AEK93" s="456" t="s">
        <v>116</v>
      </c>
      <c r="AEL93" s="456" t="s">
        <v>116</v>
      </c>
      <c r="AEM93" s="456" t="s">
        <v>116</v>
      </c>
      <c r="AEN93" s="456" t="s">
        <v>116</v>
      </c>
      <c r="AEO93" s="456" t="s">
        <v>116</v>
      </c>
      <c r="AEP93" s="456" t="s">
        <v>116</v>
      </c>
      <c r="AEQ93" s="456" t="s">
        <v>116</v>
      </c>
      <c r="AER93" s="456" t="s">
        <v>116</v>
      </c>
      <c r="AES93" s="456" t="s">
        <v>116</v>
      </c>
      <c r="AET93" s="456" t="s">
        <v>116</v>
      </c>
      <c r="AEU93" s="456" t="s">
        <v>116</v>
      </c>
      <c r="AEV93" s="456" t="s">
        <v>116</v>
      </c>
      <c r="AEW93" s="456" t="s">
        <v>116</v>
      </c>
      <c r="AEX93" s="456" t="s">
        <v>116</v>
      </c>
      <c r="AEY93" s="456" t="s">
        <v>116</v>
      </c>
      <c r="AEZ93" s="456" t="s">
        <v>116</v>
      </c>
      <c r="AFA93" s="456" t="s">
        <v>116</v>
      </c>
      <c r="AFB93" s="456" t="s">
        <v>116</v>
      </c>
      <c r="AFC93" s="456" t="s">
        <v>116</v>
      </c>
      <c r="AFD93" s="456" t="s">
        <v>116</v>
      </c>
      <c r="AFE93" s="456" t="s">
        <v>116</v>
      </c>
      <c r="AFF93" s="456" t="s">
        <v>116</v>
      </c>
      <c r="AFG93" s="456" t="s">
        <v>116</v>
      </c>
      <c r="AFH93" s="456" t="s">
        <v>116</v>
      </c>
      <c r="AFI93" s="456" t="s">
        <v>116</v>
      </c>
      <c r="AFJ93" s="456" t="s">
        <v>116</v>
      </c>
      <c r="AFK93" s="456" t="s">
        <v>116</v>
      </c>
      <c r="AFL93" s="456" t="s">
        <v>116</v>
      </c>
      <c r="AFM93" s="456" t="s">
        <v>116</v>
      </c>
      <c r="AFN93" s="456" t="s">
        <v>116</v>
      </c>
      <c r="AFO93" s="456" t="s">
        <v>116</v>
      </c>
      <c r="AFP93" s="456" t="s">
        <v>116</v>
      </c>
      <c r="AFQ93" s="456" t="s">
        <v>116</v>
      </c>
      <c r="AFR93" s="456" t="s">
        <v>116</v>
      </c>
      <c r="AFS93" s="456" t="s">
        <v>116</v>
      </c>
      <c r="AFT93" s="456" t="s">
        <v>116</v>
      </c>
      <c r="AFU93" s="456" t="s">
        <v>116</v>
      </c>
      <c r="AFV93" s="456" t="s">
        <v>116</v>
      </c>
      <c r="AFW93" s="456" t="s">
        <v>116</v>
      </c>
      <c r="AFX93" s="456" t="s">
        <v>116</v>
      </c>
      <c r="AFY93" s="456" t="s">
        <v>116</v>
      </c>
      <c r="AFZ93" s="456" t="s">
        <v>116</v>
      </c>
      <c r="AGA93" s="456" t="s">
        <v>116</v>
      </c>
      <c r="AGB93" s="456" t="s">
        <v>116</v>
      </c>
      <c r="AGC93" s="456" t="s">
        <v>116</v>
      </c>
      <c r="AGD93" s="456" t="s">
        <v>116</v>
      </c>
      <c r="AGE93" s="456" t="s">
        <v>116</v>
      </c>
      <c r="AGF93" s="456" t="s">
        <v>116</v>
      </c>
      <c r="AGG93" s="456" t="s">
        <v>116</v>
      </c>
      <c r="AGH93" s="456" t="s">
        <v>116</v>
      </c>
      <c r="AGI93" s="456" t="s">
        <v>116</v>
      </c>
      <c r="AGJ93" s="456" t="s">
        <v>116</v>
      </c>
      <c r="AGK93" s="456" t="s">
        <v>116</v>
      </c>
      <c r="AGL93" s="456" t="s">
        <v>116</v>
      </c>
      <c r="AGM93" s="456" t="s">
        <v>116</v>
      </c>
      <c r="AGN93" s="456" t="s">
        <v>116</v>
      </c>
      <c r="AGO93" s="456" t="s">
        <v>116</v>
      </c>
      <c r="AGP93" s="456" t="s">
        <v>116</v>
      </c>
      <c r="AGQ93" s="456" t="s">
        <v>116</v>
      </c>
      <c r="AGR93" s="456" t="s">
        <v>116</v>
      </c>
      <c r="AGS93" s="456" t="s">
        <v>116</v>
      </c>
      <c r="AGT93" s="456" t="s">
        <v>116</v>
      </c>
      <c r="AGU93" s="456" t="s">
        <v>116</v>
      </c>
      <c r="AGV93" s="456" t="s">
        <v>116</v>
      </c>
      <c r="AGW93" s="456" t="s">
        <v>116</v>
      </c>
      <c r="AGX93" s="456" t="s">
        <v>116</v>
      </c>
      <c r="AGY93" s="456" t="s">
        <v>116</v>
      </c>
      <c r="AGZ93" s="456" t="s">
        <v>116</v>
      </c>
      <c r="AHA93" s="456" t="s">
        <v>116</v>
      </c>
      <c r="AHB93" s="456" t="s">
        <v>116</v>
      </c>
      <c r="AHC93" s="456" t="s">
        <v>116</v>
      </c>
      <c r="AHD93" s="456" t="s">
        <v>116</v>
      </c>
      <c r="AHE93" s="456" t="s">
        <v>116</v>
      </c>
      <c r="AHF93" s="456" t="s">
        <v>116</v>
      </c>
      <c r="AHG93" s="456" t="s">
        <v>116</v>
      </c>
      <c r="AHH93" s="456" t="s">
        <v>116</v>
      </c>
      <c r="AHI93" s="456" t="s">
        <v>116</v>
      </c>
      <c r="AHJ93" s="456" t="s">
        <v>116</v>
      </c>
      <c r="AHK93" s="456" t="s">
        <v>116</v>
      </c>
      <c r="AHL93" s="456" t="s">
        <v>116</v>
      </c>
      <c r="AHM93" s="456" t="s">
        <v>116</v>
      </c>
      <c r="AHN93" s="456" t="s">
        <v>116</v>
      </c>
      <c r="AHO93" s="456" t="s">
        <v>116</v>
      </c>
      <c r="AHP93" s="456" t="s">
        <v>116</v>
      </c>
      <c r="AHQ93" s="456" t="s">
        <v>116</v>
      </c>
      <c r="AHR93" s="456" t="s">
        <v>116</v>
      </c>
      <c r="AHS93" s="456" t="s">
        <v>116</v>
      </c>
      <c r="AHT93" s="456" t="s">
        <v>116</v>
      </c>
      <c r="AHU93" s="456" t="s">
        <v>116</v>
      </c>
      <c r="AHV93" s="456" t="s">
        <v>116</v>
      </c>
      <c r="AHW93" s="456" t="s">
        <v>116</v>
      </c>
      <c r="AHX93" s="456" t="s">
        <v>116</v>
      </c>
      <c r="AHY93" s="456" t="s">
        <v>116</v>
      </c>
      <c r="AHZ93" s="456" t="s">
        <v>116</v>
      </c>
      <c r="AIA93" s="456" t="s">
        <v>116</v>
      </c>
      <c r="AIB93" s="456" t="s">
        <v>116</v>
      </c>
      <c r="AIC93" s="456" t="s">
        <v>116</v>
      </c>
      <c r="AID93" s="456" t="s">
        <v>116</v>
      </c>
      <c r="AIE93" s="456" t="s">
        <v>116</v>
      </c>
      <c r="AIF93" s="456" t="s">
        <v>116</v>
      </c>
      <c r="AIG93" s="456" t="s">
        <v>116</v>
      </c>
      <c r="AIH93" s="456" t="s">
        <v>116</v>
      </c>
      <c r="AII93" s="456" t="s">
        <v>116</v>
      </c>
      <c r="AIJ93" s="456" t="s">
        <v>116</v>
      </c>
      <c r="AIK93" s="456" t="s">
        <v>116</v>
      </c>
      <c r="AIL93" s="456" t="s">
        <v>116</v>
      </c>
      <c r="AIM93" s="456" t="s">
        <v>116</v>
      </c>
      <c r="AIN93" s="456" t="s">
        <v>116</v>
      </c>
      <c r="AIO93" s="456" t="s">
        <v>116</v>
      </c>
      <c r="AIP93" s="456" t="s">
        <v>116</v>
      </c>
      <c r="AIQ93" s="456" t="s">
        <v>116</v>
      </c>
      <c r="AIR93" s="456" t="s">
        <v>116</v>
      </c>
      <c r="AIS93" s="456" t="s">
        <v>116</v>
      </c>
      <c r="AIT93" s="456" t="s">
        <v>116</v>
      </c>
      <c r="AIU93" s="456" t="s">
        <v>116</v>
      </c>
      <c r="AIV93" s="456" t="s">
        <v>116</v>
      </c>
      <c r="AIW93" s="456" t="s">
        <v>116</v>
      </c>
      <c r="AIX93" s="456" t="s">
        <v>116</v>
      </c>
      <c r="AIY93" s="456" t="s">
        <v>116</v>
      </c>
      <c r="AIZ93" s="456" t="s">
        <v>116</v>
      </c>
      <c r="AJA93" s="456" t="s">
        <v>116</v>
      </c>
      <c r="AJB93" s="456" t="s">
        <v>116</v>
      </c>
      <c r="AJC93" s="456" t="s">
        <v>116</v>
      </c>
      <c r="AJD93" s="456" t="s">
        <v>116</v>
      </c>
      <c r="AJE93" s="456" t="s">
        <v>116</v>
      </c>
      <c r="AJF93" s="456" t="s">
        <v>116</v>
      </c>
      <c r="AJG93" s="456" t="s">
        <v>116</v>
      </c>
      <c r="AJH93" s="456" t="s">
        <v>116</v>
      </c>
      <c r="AJI93" s="456" t="s">
        <v>116</v>
      </c>
      <c r="AJJ93" s="456" t="s">
        <v>116</v>
      </c>
      <c r="AJK93" s="456" t="s">
        <v>116</v>
      </c>
      <c r="AJL93" s="456" t="s">
        <v>116</v>
      </c>
      <c r="AJM93" s="456" t="s">
        <v>116</v>
      </c>
      <c r="AJN93" s="456" t="s">
        <v>116</v>
      </c>
      <c r="AJO93" s="456" t="s">
        <v>116</v>
      </c>
      <c r="AJP93" s="456" t="s">
        <v>116</v>
      </c>
      <c r="AJQ93" s="456" t="s">
        <v>116</v>
      </c>
      <c r="AJR93" s="456" t="s">
        <v>116</v>
      </c>
      <c r="AJS93" s="456" t="s">
        <v>116</v>
      </c>
      <c r="AJT93" s="456" t="s">
        <v>116</v>
      </c>
      <c r="AJU93" s="456" t="s">
        <v>116</v>
      </c>
      <c r="AJV93" s="456" t="s">
        <v>116</v>
      </c>
      <c r="AJW93" s="456" t="s">
        <v>116</v>
      </c>
      <c r="AJX93" s="456" t="s">
        <v>116</v>
      </c>
      <c r="AJY93" s="456" t="s">
        <v>116</v>
      </c>
      <c r="AJZ93" s="456" t="s">
        <v>116</v>
      </c>
      <c r="AKA93" s="456" t="s">
        <v>116</v>
      </c>
      <c r="AKB93" s="456" t="s">
        <v>116</v>
      </c>
      <c r="AKC93" s="456" t="s">
        <v>116</v>
      </c>
      <c r="AKD93" s="456" t="s">
        <v>116</v>
      </c>
      <c r="AKE93" s="456" t="s">
        <v>116</v>
      </c>
      <c r="AKF93" s="456" t="s">
        <v>116</v>
      </c>
      <c r="AKG93" s="456" t="s">
        <v>116</v>
      </c>
      <c r="AKH93" s="456" t="s">
        <v>116</v>
      </c>
      <c r="AKI93" s="456" t="s">
        <v>116</v>
      </c>
      <c r="AKJ93" s="456" t="s">
        <v>116</v>
      </c>
      <c r="AKK93" s="456" t="s">
        <v>116</v>
      </c>
      <c r="AKL93" s="456" t="s">
        <v>116</v>
      </c>
      <c r="AKM93" s="456" t="s">
        <v>116</v>
      </c>
      <c r="AKN93" s="456" t="s">
        <v>116</v>
      </c>
      <c r="AKO93" s="456" t="s">
        <v>116</v>
      </c>
      <c r="AKP93" s="456" t="s">
        <v>116</v>
      </c>
      <c r="AKQ93" s="456" t="s">
        <v>116</v>
      </c>
      <c r="AKR93" s="456" t="s">
        <v>116</v>
      </c>
      <c r="AKS93" s="456" t="s">
        <v>116</v>
      </c>
      <c r="AKT93" s="456" t="s">
        <v>116</v>
      </c>
      <c r="AKU93" s="456" t="s">
        <v>116</v>
      </c>
      <c r="AKV93" s="456" t="s">
        <v>116</v>
      </c>
      <c r="AKW93" s="456" t="s">
        <v>116</v>
      </c>
      <c r="AKX93" s="456" t="s">
        <v>116</v>
      </c>
      <c r="AKY93" s="456" t="s">
        <v>116</v>
      </c>
      <c r="AKZ93" s="456" t="s">
        <v>116</v>
      </c>
      <c r="ALA93" s="456" t="s">
        <v>116</v>
      </c>
      <c r="ALB93" s="456" t="s">
        <v>116</v>
      </c>
      <c r="ALC93" s="456" t="s">
        <v>116</v>
      </c>
      <c r="ALD93" s="456" t="s">
        <v>116</v>
      </c>
      <c r="ALE93" s="456" t="s">
        <v>116</v>
      </c>
      <c r="ALF93" s="456" t="s">
        <v>116</v>
      </c>
      <c r="ALG93" s="456" t="s">
        <v>116</v>
      </c>
      <c r="ALH93" s="456" t="s">
        <v>116</v>
      </c>
      <c r="ALI93" s="456" t="s">
        <v>116</v>
      </c>
      <c r="ALJ93" s="456" t="s">
        <v>116</v>
      </c>
      <c r="ALK93" s="456" t="s">
        <v>116</v>
      </c>
      <c r="ALL93" s="456" t="s">
        <v>116</v>
      </c>
      <c r="ALM93" s="456" t="s">
        <v>116</v>
      </c>
      <c r="ALN93" s="456" t="s">
        <v>116</v>
      </c>
      <c r="ALO93" s="456" t="s">
        <v>116</v>
      </c>
      <c r="ALP93" s="456" t="s">
        <v>116</v>
      </c>
      <c r="ALQ93" s="456" t="s">
        <v>116</v>
      </c>
      <c r="ALR93" s="456" t="s">
        <v>116</v>
      </c>
      <c r="ALS93" s="456" t="s">
        <v>116</v>
      </c>
      <c r="ALT93" s="456" t="s">
        <v>116</v>
      </c>
      <c r="ALU93" s="456" t="s">
        <v>116</v>
      </c>
      <c r="ALV93" s="456" t="s">
        <v>116</v>
      </c>
      <c r="ALW93" s="456" t="s">
        <v>116</v>
      </c>
      <c r="ALX93" s="456" t="s">
        <v>116</v>
      </c>
      <c r="ALY93" s="456" t="s">
        <v>116</v>
      </c>
      <c r="ALZ93" s="456" t="s">
        <v>116</v>
      </c>
      <c r="AMA93" s="456" t="s">
        <v>116</v>
      </c>
      <c r="AMB93" s="456" t="s">
        <v>116</v>
      </c>
      <c r="AMC93" s="456" t="s">
        <v>116</v>
      </c>
      <c r="AMD93" s="456" t="s">
        <v>116</v>
      </c>
      <c r="AME93" s="456" t="s">
        <v>116</v>
      </c>
      <c r="AMF93" s="456" t="s">
        <v>116</v>
      </c>
      <c r="AMG93" s="456" t="s">
        <v>116</v>
      </c>
      <c r="AMH93" s="456" t="s">
        <v>116</v>
      </c>
      <c r="AMI93" s="456" t="s">
        <v>116</v>
      </c>
      <c r="AMJ93" s="456" t="s">
        <v>116</v>
      </c>
      <c r="AMK93" s="456" t="s">
        <v>116</v>
      </c>
      <c r="AML93" s="456" t="s">
        <v>116</v>
      </c>
      <c r="AMM93" s="456" t="s">
        <v>116</v>
      </c>
      <c r="AMN93" s="456" t="s">
        <v>116</v>
      </c>
      <c r="AMO93" s="456" t="s">
        <v>116</v>
      </c>
      <c r="AMP93" s="456" t="s">
        <v>116</v>
      </c>
      <c r="AMQ93" s="456" t="s">
        <v>116</v>
      </c>
      <c r="AMR93" s="456" t="s">
        <v>116</v>
      </c>
      <c r="AMS93" s="456" t="s">
        <v>116</v>
      </c>
      <c r="AMT93" s="456" t="s">
        <v>116</v>
      </c>
      <c r="AMU93" s="456" t="s">
        <v>116</v>
      </c>
      <c r="AMV93" s="456" t="s">
        <v>116</v>
      </c>
      <c r="AMW93" s="456" t="s">
        <v>116</v>
      </c>
      <c r="AMX93" s="456" t="s">
        <v>116</v>
      </c>
      <c r="AMY93" s="456" t="s">
        <v>116</v>
      </c>
      <c r="AMZ93" s="456" t="s">
        <v>116</v>
      </c>
      <c r="ANA93" s="456" t="s">
        <v>116</v>
      </c>
      <c r="ANB93" s="456" t="s">
        <v>116</v>
      </c>
      <c r="ANC93" s="456" t="s">
        <v>116</v>
      </c>
      <c r="AND93" s="456" t="s">
        <v>116</v>
      </c>
      <c r="ANE93" s="456" t="s">
        <v>116</v>
      </c>
      <c r="ANF93" s="456" t="s">
        <v>116</v>
      </c>
      <c r="ANG93" s="456" t="s">
        <v>116</v>
      </c>
      <c r="ANH93" s="456" t="s">
        <v>116</v>
      </c>
      <c r="ANI93" s="456" t="s">
        <v>116</v>
      </c>
      <c r="ANJ93" s="456" t="s">
        <v>116</v>
      </c>
      <c r="ANK93" s="456" t="s">
        <v>116</v>
      </c>
      <c r="ANL93" s="456" t="s">
        <v>116</v>
      </c>
      <c r="ANM93" s="456" t="s">
        <v>116</v>
      </c>
      <c r="ANN93" s="456" t="s">
        <v>116</v>
      </c>
      <c r="ANO93" s="456" t="s">
        <v>116</v>
      </c>
      <c r="ANP93" s="456" t="s">
        <v>116</v>
      </c>
      <c r="ANQ93" s="456" t="s">
        <v>116</v>
      </c>
      <c r="ANR93" s="456" t="s">
        <v>116</v>
      </c>
      <c r="ANS93" s="456" t="s">
        <v>116</v>
      </c>
      <c r="ANT93" s="456" t="s">
        <v>116</v>
      </c>
      <c r="ANU93" s="456" t="s">
        <v>116</v>
      </c>
      <c r="ANV93" s="456" t="s">
        <v>116</v>
      </c>
      <c r="ANW93" s="456" t="s">
        <v>116</v>
      </c>
      <c r="ANX93" s="456" t="s">
        <v>116</v>
      </c>
      <c r="ANY93" s="456" t="s">
        <v>116</v>
      </c>
      <c r="ANZ93" s="456" t="s">
        <v>116</v>
      </c>
      <c r="AOA93" s="456" t="s">
        <v>116</v>
      </c>
      <c r="AOB93" s="456" t="s">
        <v>116</v>
      </c>
      <c r="AOC93" s="456" t="s">
        <v>116</v>
      </c>
      <c r="AOD93" s="456" t="s">
        <v>116</v>
      </c>
      <c r="AOE93" s="456" t="s">
        <v>116</v>
      </c>
      <c r="AOF93" s="456" t="s">
        <v>116</v>
      </c>
      <c r="AOG93" s="456" t="s">
        <v>116</v>
      </c>
      <c r="AOH93" s="456" t="s">
        <v>116</v>
      </c>
      <c r="AOI93" s="456" t="s">
        <v>116</v>
      </c>
      <c r="AOJ93" s="456" t="s">
        <v>116</v>
      </c>
      <c r="AOK93" s="456" t="s">
        <v>116</v>
      </c>
      <c r="AOL93" s="456" t="s">
        <v>116</v>
      </c>
      <c r="AOM93" s="456" t="s">
        <v>116</v>
      </c>
      <c r="AON93" s="456" t="s">
        <v>116</v>
      </c>
      <c r="AOO93" s="456" t="s">
        <v>116</v>
      </c>
      <c r="AOP93" s="456" t="s">
        <v>116</v>
      </c>
      <c r="AOQ93" s="456" t="s">
        <v>116</v>
      </c>
      <c r="AOR93" s="456" t="s">
        <v>116</v>
      </c>
      <c r="AOS93" s="456" t="s">
        <v>116</v>
      </c>
      <c r="AOT93" s="456" t="s">
        <v>116</v>
      </c>
      <c r="AOU93" s="456" t="s">
        <v>116</v>
      </c>
      <c r="AOV93" s="456" t="s">
        <v>116</v>
      </c>
      <c r="AOW93" s="456" t="s">
        <v>116</v>
      </c>
      <c r="AOX93" s="456" t="s">
        <v>116</v>
      </c>
      <c r="AOY93" s="456" t="s">
        <v>116</v>
      </c>
      <c r="AOZ93" s="456" t="s">
        <v>116</v>
      </c>
      <c r="APA93" s="456" t="s">
        <v>116</v>
      </c>
      <c r="APB93" s="456" t="s">
        <v>116</v>
      </c>
      <c r="APC93" s="456" t="s">
        <v>116</v>
      </c>
      <c r="APD93" s="456" t="s">
        <v>116</v>
      </c>
      <c r="APE93" s="456" t="s">
        <v>116</v>
      </c>
      <c r="APF93" s="456" t="s">
        <v>116</v>
      </c>
      <c r="APG93" s="456" t="s">
        <v>116</v>
      </c>
      <c r="APH93" s="456" t="s">
        <v>116</v>
      </c>
      <c r="API93" s="456" t="s">
        <v>116</v>
      </c>
      <c r="APJ93" s="456" t="s">
        <v>116</v>
      </c>
      <c r="APK93" s="456" t="s">
        <v>116</v>
      </c>
      <c r="APL93" s="456" t="s">
        <v>116</v>
      </c>
      <c r="APM93" s="456" t="s">
        <v>116</v>
      </c>
      <c r="APN93" s="456" t="s">
        <v>116</v>
      </c>
      <c r="APO93" s="456" t="s">
        <v>116</v>
      </c>
      <c r="APP93" s="456" t="s">
        <v>116</v>
      </c>
      <c r="APQ93" s="456" t="s">
        <v>116</v>
      </c>
      <c r="APR93" s="456" t="s">
        <v>116</v>
      </c>
      <c r="APS93" s="456" t="s">
        <v>116</v>
      </c>
      <c r="APT93" s="456" t="s">
        <v>116</v>
      </c>
      <c r="APU93" s="456" t="s">
        <v>116</v>
      </c>
      <c r="APV93" s="456" t="s">
        <v>116</v>
      </c>
      <c r="APW93" s="456" t="s">
        <v>116</v>
      </c>
      <c r="APX93" s="456" t="s">
        <v>116</v>
      </c>
      <c r="APY93" s="456" t="s">
        <v>116</v>
      </c>
      <c r="APZ93" s="456" t="s">
        <v>116</v>
      </c>
      <c r="AQA93" s="456" t="s">
        <v>116</v>
      </c>
      <c r="AQB93" s="456" t="s">
        <v>116</v>
      </c>
      <c r="AQC93" s="456" t="s">
        <v>116</v>
      </c>
      <c r="AQD93" s="456" t="s">
        <v>116</v>
      </c>
      <c r="AQE93" s="456" t="s">
        <v>116</v>
      </c>
      <c r="AQF93" s="456" t="s">
        <v>116</v>
      </c>
      <c r="AQG93" s="456" t="s">
        <v>116</v>
      </c>
      <c r="AQH93" s="456" t="s">
        <v>116</v>
      </c>
      <c r="AQI93" s="456" t="s">
        <v>116</v>
      </c>
      <c r="AQJ93" s="456" t="s">
        <v>116</v>
      </c>
      <c r="AQK93" s="456" t="s">
        <v>116</v>
      </c>
      <c r="AQL93" s="456" t="s">
        <v>116</v>
      </c>
      <c r="AQM93" s="456" t="s">
        <v>116</v>
      </c>
      <c r="AQN93" s="456" t="s">
        <v>116</v>
      </c>
      <c r="AQO93" s="456" t="s">
        <v>116</v>
      </c>
      <c r="AQP93" s="456" t="s">
        <v>116</v>
      </c>
      <c r="AQQ93" s="456" t="s">
        <v>116</v>
      </c>
      <c r="AQR93" s="456" t="s">
        <v>116</v>
      </c>
      <c r="AQS93" s="456" t="s">
        <v>116</v>
      </c>
      <c r="AQT93" s="456" t="s">
        <v>116</v>
      </c>
      <c r="AQU93" s="456" t="s">
        <v>116</v>
      </c>
      <c r="AQV93" s="456" t="s">
        <v>116</v>
      </c>
      <c r="AQW93" s="456" t="s">
        <v>116</v>
      </c>
      <c r="AQX93" s="456" t="s">
        <v>116</v>
      </c>
      <c r="AQY93" s="456" t="s">
        <v>116</v>
      </c>
      <c r="AQZ93" s="456" t="s">
        <v>116</v>
      </c>
      <c r="ARA93" s="456" t="s">
        <v>116</v>
      </c>
      <c r="ARB93" s="456" t="s">
        <v>116</v>
      </c>
      <c r="ARC93" s="456" t="s">
        <v>116</v>
      </c>
      <c r="ARD93" s="456" t="s">
        <v>116</v>
      </c>
      <c r="ARE93" s="456" t="s">
        <v>116</v>
      </c>
      <c r="ARF93" s="456" t="s">
        <v>116</v>
      </c>
      <c r="ARG93" s="456" t="s">
        <v>116</v>
      </c>
      <c r="ARH93" s="456" t="s">
        <v>116</v>
      </c>
      <c r="ARI93" s="456" t="s">
        <v>116</v>
      </c>
      <c r="ARJ93" s="456" t="s">
        <v>116</v>
      </c>
      <c r="ARK93" s="456" t="s">
        <v>116</v>
      </c>
      <c r="ARL93" s="456" t="s">
        <v>116</v>
      </c>
      <c r="ARM93" s="456" t="s">
        <v>116</v>
      </c>
      <c r="ARN93" s="456" t="s">
        <v>116</v>
      </c>
      <c r="ARO93" s="456" t="s">
        <v>116</v>
      </c>
      <c r="ARP93" s="456" t="s">
        <v>116</v>
      </c>
      <c r="ARQ93" s="456" t="s">
        <v>116</v>
      </c>
      <c r="ARR93" s="456" t="s">
        <v>116</v>
      </c>
      <c r="ARS93" s="456" t="s">
        <v>116</v>
      </c>
      <c r="ART93" s="456" t="s">
        <v>116</v>
      </c>
      <c r="ARU93" s="456" t="s">
        <v>116</v>
      </c>
      <c r="ARV93" s="456" t="s">
        <v>116</v>
      </c>
      <c r="ARW93" s="456" t="s">
        <v>116</v>
      </c>
      <c r="ARX93" s="456" t="s">
        <v>116</v>
      </c>
      <c r="ARY93" s="456" t="s">
        <v>116</v>
      </c>
      <c r="ARZ93" s="456" t="s">
        <v>116</v>
      </c>
      <c r="ASA93" s="456" t="s">
        <v>116</v>
      </c>
      <c r="ASB93" s="456" t="s">
        <v>116</v>
      </c>
      <c r="ASC93" s="456" t="s">
        <v>116</v>
      </c>
      <c r="ASD93" s="456" t="s">
        <v>116</v>
      </c>
      <c r="ASE93" s="456" t="s">
        <v>116</v>
      </c>
      <c r="ASF93" s="456" t="s">
        <v>116</v>
      </c>
      <c r="ASG93" s="456" t="s">
        <v>116</v>
      </c>
      <c r="ASH93" s="456" t="s">
        <v>116</v>
      </c>
      <c r="ASI93" s="456" t="s">
        <v>116</v>
      </c>
      <c r="ASJ93" s="456" t="s">
        <v>116</v>
      </c>
      <c r="ASK93" s="456" t="s">
        <v>116</v>
      </c>
      <c r="ASL93" s="456" t="s">
        <v>116</v>
      </c>
      <c r="ASM93" s="456" t="s">
        <v>116</v>
      </c>
      <c r="ASN93" s="456" t="s">
        <v>116</v>
      </c>
      <c r="ASO93" s="456" t="s">
        <v>116</v>
      </c>
      <c r="ASP93" s="456" t="s">
        <v>116</v>
      </c>
      <c r="ASQ93" s="456" t="s">
        <v>116</v>
      </c>
      <c r="ASR93" s="456" t="s">
        <v>116</v>
      </c>
      <c r="ASS93" s="456" t="s">
        <v>116</v>
      </c>
      <c r="AST93" s="456" t="s">
        <v>116</v>
      </c>
      <c r="ASU93" s="456" t="s">
        <v>116</v>
      </c>
      <c r="ASV93" s="456" t="s">
        <v>116</v>
      </c>
      <c r="ASW93" s="456" t="s">
        <v>116</v>
      </c>
      <c r="ASX93" s="456" t="s">
        <v>116</v>
      </c>
      <c r="ASY93" s="456" t="s">
        <v>116</v>
      </c>
      <c r="ASZ93" s="456" t="s">
        <v>116</v>
      </c>
      <c r="ATA93" s="456" t="s">
        <v>116</v>
      </c>
      <c r="ATB93" s="456" t="s">
        <v>116</v>
      </c>
      <c r="ATC93" s="456" t="s">
        <v>116</v>
      </c>
      <c r="ATD93" s="456" t="s">
        <v>116</v>
      </c>
      <c r="ATE93" s="456" t="s">
        <v>116</v>
      </c>
      <c r="ATF93" s="456" t="s">
        <v>116</v>
      </c>
      <c r="ATG93" s="456" t="s">
        <v>116</v>
      </c>
      <c r="ATH93" s="456" t="s">
        <v>116</v>
      </c>
      <c r="ATI93" s="456" t="s">
        <v>116</v>
      </c>
      <c r="ATJ93" s="456" t="s">
        <v>116</v>
      </c>
      <c r="ATK93" s="456" t="s">
        <v>116</v>
      </c>
      <c r="ATL93" s="456" t="s">
        <v>116</v>
      </c>
      <c r="ATM93" s="456" t="s">
        <v>116</v>
      </c>
      <c r="ATN93" s="456" t="s">
        <v>116</v>
      </c>
      <c r="ATO93" s="456" t="s">
        <v>116</v>
      </c>
      <c r="ATP93" s="456" t="s">
        <v>116</v>
      </c>
      <c r="ATQ93" s="456" t="s">
        <v>116</v>
      </c>
      <c r="ATR93" s="456" t="s">
        <v>116</v>
      </c>
      <c r="ATS93" s="456" t="s">
        <v>116</v>
      </c>
      <c r="ATT93" s="456" t="s">
        <v>116</v>
      </c>
      <c r="ATU93" s="456" t="s">
        <v>116</v>
      </c>
      <c r="ATV93" s="456" t="s">
        <v>116</v>
      </c>
      <c r="ATW93" s="456" t="s">
        <v>116</v>
      </c>
      <c r="ATX93" s="456" t="s">
        <v>116</v>
      </c>
      <c r="ATY93" s="456" t="s">
        <v>116</v>
      </c>
      <c r="ATZ93" s="456" t="s">
        <v>116</v>
      </c>
      <c r="AUA93" s="456" t="s">
        <v>116</v>
      </c>
      <c r="AUB93" s="456" t="s">
        <v>116</v>
      </c>
      <c r="AUC93" s="456" t="s">
        <v>116</v>
      </c>
      <c r="AUD93" s="456" t="s">
        <v>116</v>
      </c>
      <c r="AUE93" s="456" t="s">
        <v>116</v>
      </c>
      <c r="AUF93" s="456" t="s">
        <v>116</v>
      </c>
      <c r="AUG93" s="456" t="s">
        <v>116</v>
      </c>
      <c r="AUH93" s="456" t="s">
        <v>116</v>
      </c>
      <c r="AUI93" s="456" t="s">
        <v>116</v>
      </c>
      <c r="AUJ93" s="456" t="s">
        <v>116</v>
      </c>
      <c r="AUK93" s="456" t="s">
        <v>116</v>
      </c>
      <c r="AUL93" s="456" t="s">
        <v>116</v>
      </c>
      <c r="AUM93" s="456" t="s">
        <v>116</v>
      </c>
      <c r="AUN93" s="456" t="s">
        <v>116</v>
      </c>
      <c r="AUO93" s="456" t="s">
        <v>116</v>
      </c>
      <c r="AUP93" s="456" t="s">
        <v>116</v>
      </c>
      <c r="AUQ93" s="456" t="s">
        <v>116</v>
      </c>
      <c r="AUR93" s="456" t="s">
        <v>116</v>
      </c>
      <c r="AUS93" s="456" t="s">
        <v>116</v>
      </c>
      <c r="AUT93" s="456" t="s">
        <v>116</v>
      </c>
      <c r="AUU93" s="456" t="s">
        <v>116</v>
      </c>
      <c r="AUV93" s="456" t="s">
        <v>116</v>
      </c>
      <c r="AUW93" s="456" t="s">
        <v>116</v>
      </c>
      <c r="AUX93" s="456" t="s">
        <v>116</v>
      </c>
      <c r="AUY93" s="456" t="s">
        <v>116</v>
      </c>
      <c r="AUZ93" s="456" t="s">
        <v>116</v>
      </c>
      <c r="AVA93" s="456" t="s">
        <v>116</v>
      </c>
      <c r="AVB93" s="456" t="s">
        <v>116</v>
      </c>
      <c r="AVC93" s="456" t="s">
        <v>116</v>
      </c>
      <c r="AVD93" s="456" t="s">
        <v>116</v>
      </c>
      <c r="AVE93" s="456" t="s">
        <v>116</v>
      </c>
      <c r="AVF93" s="456" t="s">
        <v>116</v>
      </c>
      <c r="AVG93" s="456" t="s">
        <v>116</v>
      </c>
      <c r="AVH93" s="456" t="s">
        <v>116</v>
      </c>
      <c r="AVI93" s="456" t="s">
        <v>116</v>
      </c>
      <c r="AVJ93" s="456" t="s">
        <v>116</v>
      </c>
      <c r="AVK93" s="456" t="s">
        <v>116</v>
      </c>
      <c r="AVL93" s="456" t="s">
        <v>116</v>
      </c>
      <c r="AVM93" s="456" t="s">
        <v>116</v>
      </c>
      <c r="AVN93" s="456" t="s">
        <v>116</v>
      </c>
      <c r="AVO93" s="456" t="s">
        <v>116</v>
      </c>
      <c r="AVP93" s="456" t="s">
        <v>116</v>
      </c>
      <c r="AVQ93" s="456" t="s">
        <v>116</v>
      </c>
      <c r="AVR93" s="456" t="s">
        <v>116</v>
      </c>
      <c r="AVS93" s="456" t="s">
        <v>116</v>
      </c>
      <c r="AVT93" s="456" t="s">
        <v>116</v>
      </c>
      <c r="AVU93" s="456" t="s">
        <v>116</v>
      </c>
      <c r="AVV93" s="456" t="s">
        <v>116</v>
      </c>
      <c r="AVW93" s="456" t="s">
        <v>116</v>
      </c>
      <c r="AVX93" s="456" t="s">
        <v>116</v>
      </c>
      <c r="AVY93" s="456" t="s">
        <v>116</v>
      </c>
      <c r="AVZ93" s="456" t="s">
        <v>116</v>
      </c>
      <c r="AWA93" s="456" t="s">
        <v>116</v>
      </c>
      <c r="AWB93" s="456" t="s">
        <v>116</v>
      </c>
      <c r="AWC93" s="456" t="s">
        <v>116</v>
      </c>
      <c r="AWD93" s="456" t="s">
        <v>116</v>
      </c>
      <c r="AWE93" s="456" t="s">
        <v>116</v>
      </c>
      <c r="AWF93" s="456" t="s">
        <v>116</v>
      </c>
      <c r="AWG93" s="456" t="s">
        <v>116</v>
      </c>
      <c r="AWH93" s="456" t="s">
        <v>116</v>
      </c>
      <c r="AWI93" s="456" t="s">
        <v>116</v>
      </c>
      <c r="AWJ93" s="456" t="s">
        <v>116</v>
      </c>
      <c r="AWK93" s="456" t="s">
        <v>116</v>
      </c>
      <c r="AWL93" s="456" t="s">
        <v>116</v>
      </c>
      <c r="AWM93" s="456" t="s">
        <v>116</v>
      </c>
      <c r="AWN93" s="456" t="s">
        <v>116</v>
      </c>
      <c r="AWO93" s="456" t="s">
        <v>116</v>
      </c>
      <c r="AWP93" s="456" t="s">
        <v>116</v>
      </c>
      <c r="AWQ93" s="456" t="s">
        <v>116</v>
      </c>
      <c r="AWR93" s="456" t="s">
        <v>116</v>
      </c>
      <c r="AWS93" s="456" t="s">
        <v>116</v>
      </c>
      <c r="AWT93" s="456" t="s">
        <v>116</v>
      </c>
      <c r="AWU93" s="456" t="s">
        <v>116</v>
      </c>
      <c r="AWV93" s="456" t="s">
        <v>116</v>
      </c>
      <c r="AWW93" s="456" t="s">
        <v>116</v>
      </c>
      <c r="AWX93" s="456" t="s">
        <v>116</v>
      </c>
      <c r="AWY93" s="456" t="s">
        <v>116</v>
      </c>
      <c r="AWZ93" s="456" t="s">
        <v>116</v>
      </c>
      <c r="AXA93" s="456" t="s">
        <v>116</v>
      </c>
      <c r="AXB93" s="456" t="s">
        <v>116</v>
      </c>
      <c r="AXC93" s="456" t="s">
        <v>116</v>
      </c>
      <c r="AXD93" s="456" t="s">
        <v>116</v>
      </c>
      <c r="AXE93" s="456" t="s">
        <v>116</v>
      </c>
      <c r="AXF93" s="456" t="s">
        <v>116</v>
      </c>
      <c r="AXG93" s="456" t="s">
        <v>116</v>
      </c>
      <c r="AXH93" s="456" t="s">
        <v>116</v>
      </c>
      <c r="AXI93" s="456" t="s">
        <v>116</v>
      </c>
      <c r="AXJ93" s="456" t="s">
        <v>116</v>
      </c>
      <c r="AXK93" s="456" t="s">
        <v>116</v>
      </c>
      <c r="AXL93" s="456" t="s">
        <v>116</v>
      </c>
      <c r="AXM93" s="456" t="s">
        <v>116</v>
      </c>
      <c r="AXN93" s="456" t="s">
        <v>116</v>
      </c>
      <c r="AXO93" s="456" t="s">
        <v>116</v>
      </c>
      <c r="AXP93" s="456" t="s">
        <v>116</v>
      </c>
      <c r="AXQ93" s="456" t="s">
        <v>116</v>
      </c>
      <c r="AXR93" s="456" t="s">
        <v>116</v>
      </c>
      <c r="AXS93" s="456" t="s">
        <v>116</v>
      </c>
      <c r="AXT93" s="456" t="s">
        <v>116</v>
      </c>
      <c r="AXU93" s="456" t="s">
        <v>116</v>
      </c>
      <c r="AXV93" s="456" t="s">
        <v>116</v>
      </c>
      <c r="AXW93" s="456" t="s">
        <v>116</v>
      </c>
      <c r="AXX93" s="456" t="s">
        <v>116</v>
      </c>
      <c r="AXY93" s="456" t="s">
        <v>116</v>
      </c>
      <c r="AXZ93" s="456" t="s">
        <v>116</v>
      </c>
      <c r="AYA93" s="456" t="s">
        <v>116</v>
      </c>
      <c r="AYB93" s="456" t="s">
        <v>116</v>
      </c>
      <c r="AYC93" s="456" t="s">
        <v>116</v>
      </c>
      <c r="AYD93" s="456" t="s">
        <v>116</v>
      </c>
      <c r="AYE93" s="456" t="s">
        <v>116</v>
      </c>
      <c r="AYF93" s="456" t="s">
        <v>116</v>
      </c>
      <c r="AYG93" s="456" t="s">
        <v>116</v>
      </c>
      <c r="AYH93" s="456" t="s">
        <v>116</v>
      </c>
      <c r="AYI93" s="456" t="s">
        <v>116</v>
      </c>
      <c r="AYJ93" s="456" t="s">
        <v>116</v>
      </c>
      <c r="AYK93" s="456" t="s">
        <v>116</v>
      </c>
      <c r="AYL93" s="456" t="s">
        <v>116</v>
      </c>
      <c r="AYM93" s="456" t="s">
        <v>116</v>
      </c>
      <c r="AYN93" s="456" t="s">
        <v>116</v>
      </c>
      <c r="AYO93" s="456" t="s">
        <v>116</v>
      </c>
      <c r="AYP93" s="456" t="s">
        <v>116</v>
      </c>
      <c r="AYQ93" s="456" t="s">
        <v>116</v>
      </c>
      <c r="AYR93" s="456" t="s">
        <v>116</v>
      </c>
      <c r="AYS93" s="456" t="s">
        <v>116</v>
      </c>
      <c r="AYT93" s="456" t="s">
        <v>116</v>
      </c>
      <c r="AYU93" s="456" t="s">
        <v>116</v>
      </c>
      <c r="AYV93" s="456" t="s">
        <v>116</v>
      </c>
      <c r="AYW93" s="456" t="s">
        <v>116</v>
      </c>
      <c r="AYX93" s="456" t="s">
        <v>116</v>
      </c>
      <c r="AYY93" s="456" t="s">
        <v>116</v>
      </c>
      <c r="AYZ93" s="456" t="s">
        <v>116</v>
      </c>
      <c r="AZA93" s="456" t="s">
        <v>116</v>
      </c>
      <c r="AZB93" s="456" t="s">
        <v>116</v>
      </c>
      <c r="AZC93" s="456" t="s">
        <v>116</v>
      </c>
      <c r="AZD93" s="456" t="s">
        <v>116</v>
      </c>
      <c r="AZE93" s="456" t="s">
        <v>116</v>
      </c>
      <c r="AZF93" s="456" t="s">
        <v>116</v>
      </c>
      <c r="AZG93" s="456" t="s">
        <v>116</v>
      </c>
      <c r="AZH93" s="456" t="s">
        <v>116</v>
      </c>
      <c r="AZI93" s="456" t="s">
        <v>116</v>
      </c>
      <c r="AZJ93" s="456" t="s">
        <v>116</v>
      </c>
      <c r="AZK93" s="456" t="s">
        <v>116</v>
      </c>
      <c r="AZL93" s="456" t="s">
        <v>116</v>
      </c>
      <c r="AZM93" s="456" t="s">
        <v>116</v>
      </c>
      <c r="AZN93" s="456" t="s">
        <v>116</v>
      </c>
      <c r="AZO93" s="456" t="s">
        <v>116</v>
      </c>
      <c r="AZP93" s="456" t="s">
        <v>116</v>
      </c>
      <c r="AZQ93" s="456" t="s">
        <v>116</v>
      </c>
      <c r="AZR93" s="456" t="s">
        <v>116</v>
      </c>
      <c r="AZS93" s="456" t="s">
        <v>116</v>
      </c>
      <c r="AZT93" s="456" t="s">
        <v>116</v>
      </c>
      <c r="AZU93" s="456" t="s">
        <v>116</v>
      </c>
      <c r="AZV93" s="456" t="s">
        <v>116</v>
      </c>
      <c r="AZW93" s="456" t="s">
        <v>116</v>
      </c>
      <c r="AZX93" s="456" t="s">
        <v>116</v>
      </c>
      <c r="AZY93" s="456" t="s">
        <v>116</v>
      </c>
      <c r="AZZ93" s="456" t="s">
        <v>116</v>
      </c>
      <c r="BAA93" s="456" t="s">
        <v>116</v>
      </c>
      <c r="BAB93" s="456" t="s">
        <v>116</v>
      </c>
      <c r="BAC93" s="456" t="s">
        <v>116</v>
      </c>
      <c r="BAD93" s="456" t="s">
        <v>116</v>
      </c>
      <c r="BAE93" s="456" t="s">
        <v>116</v>
      </c>
      <c r="BAF93" s="456" t="s">
        <v>116</v>
      </c>
      <c r="BAG93" s="456" t="s">
        <v>116</v>
      </c>
      <c r="BAH93" s="456" t="s">
        <v>116</v>
      </c>
      <c r="BAI93" s="456" t="s">
        <v>116</v>
      </c>
      <c r="BAJ93" s="456" t="s">
        <v>116</v>
      </c>
      <c r="BAK93" s="456" t="s">
        <v>116</v>
      </c>
      <c r="BAL93" s="456" t="s">
        <v>116</v>
      </c>
      <c r="BAM93" s="456" t="s">
        <v>116</v>
      </c>
      <c r="BAN93" s="456" t="s">
        <v>116</v>
      </c>
      <c r="BAO93" s="456" t="s">
        <v>116</v>
      </c>
      <c r="BAP93" s="456" t="s">
        <v>116</v>
      </c>
      <c r="BAQ93" s="456" t="s">
        <v>116</v>
      </c>
      <c r="BAR93" s="456" t="s">
        <v>116</v>
      </c>
      <c r="BAS93" s="456" t="s">
        <v>116</v>
      </c>
      <c r="BAT93" s="456" t="s">
        <v>116</v>
      </c>
      <c r="BAU93" s="456" t="s">
        <v>116</v>
      </c>
      <c r="BAV93" s="456" t="s">
        <v>116</v>
      </c>
      <c r="BAW93" s="456" t="s">
        <v>116</v>
      </c>
      <c r="BAX93" s="456" t="s">
        <v>116</v>
      </c>
      <c r="BAY93" s="456" t="s">
        <v>116</v>
      </c>
      <c r="BAZ93" s="456" t="s">
        <v>116</v>
      </c>
      <c r="BBA93" s="456" t="s">
        <v>116</v>
      </c>
      <c r="BBB93" s="456" t="s">
        <v>116</v>
      </c>
      <c r="BBC93" s="456" t="s">
        <v>116</v>
      </c>
      <c r="BBD93" s="456" t="s">
        <v>116</v>
      </c>
      <c r="BBE93" s="456" t="s">
        <v>116</v>
      </c>
      <c r="BBF93" s="456" t="s">
        <v>116</v>
      </c>
      <c r="BBG93" s="456" t="s">
        <v>116</v>
      </c>
      <c r="BBH93" s="456" t="s">
        <v>116</v>
      </c>
      <c r="BBI93" s="456" t="s">
        <v>116</v>
      </c>
      <c r="BBJ93" s="456" t="s">
        <v>116</v>
      </c>
      <c r="BBK93" s="456" t="s">
        <v>116</v>
      </c>
      <c r="BBL93" s="456" t="s">
        <v>116</v>
      </c>
      <c r="BBM93" s="456" t="s">
        <v>116</v>
      </c>
      <c r="BBN93" s="456" t="s">
        <v>116</v>
      </c>
      <c r="BBO93" s="456" t="s">
        <v>116</v>
      </c>
      <c r="BBP93" s="456" t="s">
        <v>116</v>
      </c>
      <c r="BBQ93" s="456" t="s">
        <v>116</v>
      </c>
      <c r="BBR93" s="456" t="s">
        <v>116</v>
      </c>
      <c r="BBS93" s="456" t="s">
        <v>116</v>
      </c>
      <c r="BBT93" s="456" t="s">
        <v>116</v>
      </c>
      <c r="BBU93" s="456" t="s">
        <v>116</v>
      </c>
      <c r="BBV93" s="456" t="s">
        <v>116</v>
      </c>
      <c r="BBW93" s="456" t="s">
        <v>116</v>
      </c>
      <c r="BBX93" s="456" t="s">
        <v>116</v>
      </c>
      <c r="BBY93" s="456" t="s">
        <v>116</v>
      </c>
      <c r="BBZ93" s="456" t="s">
        <v>116</v>
      </c>
      <c r="BCA93" s="456" t="s">
        <v>116</v>
      </c>
      <c r="BCB93" s="456" t="s">
        <v>116</v>
      </c>
      <c r="BCC93" s="456" t="s">
        <v>116</v>
      </c>
      <c r="BCD93" s="456" t="s">
        <v>116</v>
      </c>
      <c r="BCE93" s="456" t="s">
        <v>116</v>
      </c>
      <c r="BCF93" s="456" t="s">
        <v>116</v>
      </c>
      <c r="BCG93" s="456" t="s">
        <v>116</v>
      </c>
      <c r="BCH93" s="456" t="s">
        <v>116</v>
      </c>
      <c r="BCI93" s="456" t="s">
        <v>116</v>
      </c>
      <c r="BCJ93" s="456" t="s">
        <v>116</v>
      </c>
      <c r="BCK93" s="456" t="s">
        <v>116</v>
      </c>
      <c r="BCL93" s="456" t="s">
        <v>116</v>
      </c>
      <c r="BCM93" s="456" t="s">
        <v>116</v>
      </c>
      <c r="BCN93" s="456" t="s">
        <v>116</v>
      </c>
      <c r="BCO93" s="456" t="s">
        <v>116</v>
      </c>
      <c r="BCP93" s="456" t="s">
        <v>116</v>
      </c>
      <c r="BCQ93" s="456" t="s">
        <v>116</v>
      </c>
      <c r="BCR93" s="456" t="s">
        <v>116</v>
      </c>
      <c r="BCS93" s="456" t="s">
        <v>116</v>
      </c>
      <c r="BCT93" s="456" t="s">
        <v>116</v>
      </c>
      <c r="BCU93" s="456" t="s">
        <v>116</v>
      </c>
      <c r="BCV93" s="456" t="s">
        <v>116</v>
      </c>
      <c r="BCW93" s="456" t="s">
        <v>116</v>
      </c>
      <c r="BCX93" s="456" t="s">
        <v>116</v>
      </c>
      <c r="BCY93" s="456" t="s">
        <v>116</v>
      </c>
      <c r="BCZ93" s="456" t="s">
        <v>116</v>
      </c>
      <c r="BDA93" s="456" t="s">
        <v>116</v>
      </c>
      <c r="BDB93" s="456" t="s">
        <v>116</v>
      </c>
      <c r="BDC93" s="456" t="s">
        <v>116</v>
      </c>
      <c r="BDD93" s="456" t="s">
        <v>116</v>
      </c>
      <c r="BDE93" s="456" t="s">
        <v>116</v>
      </c>
      <c r="BDF93" s="456" t="s">
        <v>116</v>
      </c>
      <c r="BDG93" s="456" t="s">
        <v>116</v>
      </c>
      <c r="BDH93" s="456" t="s">
        <v>116</v>
      </c>
      <c r="BDI93" s="456" t="s">
        <v>116</v>
      </c>
      <c r="BDJ93" s="456" t="s">
        <v>116</v>
      </c>
      <c r="BDK93" s="456" t="s">
        <v>116</v>
      </c>
      <c r="BDL93" s="456" t="s">
        <v>116</v>
      </c>
      <c r="BDM93" s="456" t="s">
        <v>116</v>
      </c>
      <c r="BDN93" s="456" t="s">
        <v>116</v>
      </c>
      <c r="BDO93" s="456" t="s">
        <v>116</v>
      </c>
      <c r="BDP93" s="456" t="s">
        <v>116</v>
      </c>
      <c r="BDQ93" s="456" t="s">
        <v>116</v>
      </c>
      <c r="BDR93" s="456" t="s">
        <v>116</v>
      </c>
      <c r="BDS93" s="456" t="s">
        <v>116</v>
      </c>
      <c r="BDT93" s="456" t="s">
        <v>116</v>
      </c>
      <c r="BDU93" s="456" t="s">
        <v>116</v>
      </c>
      <c r="BDV93" s="456" t="s">
        <v>116</v>
      </c>
      <c r="BDW93" s="456" t="s">
        <v>116</v>
      </c>
      <c r="BDX93" s="456" t="s">
        <v>116</v>
      </c>
      <c r="BDY93" s="456" t="s">
        <v>116</v>
      </c>
      <c r="BDZ93" s="456" t="s">
        <v>116</v>
      </c>
      <c r="BEA93" s="456" t="s">
        <v>116</v>
      </c>
      <c r="BEB93" s="456" t="s">
        <v>116</v>
      </c>
      <c r="BEC93" s="456" t="s">
        <v>116</v>
      </c>
      <c r="BED93" s="456" t="s">
        <v>116</v>
      </c>
      <c r="BEE93" s="456" t="s">
        <v>116</v>
      </c>
      <c r="BEF93" s="456" t="s">
        <v>116</v>
      </c>
      <c r="BEG93" s="456" t="s">
        <v>116</v>
      </c>
      <c r="BEH93" s="456" t="s">
        <v>116</v>
      </c>
      <c r="BEI93" s="456" t="s">
        <v>116</v>
      </c>
      <c r="BEJ93" s="456" t="s">
        <v>116</v>
      </c>
      <c r="BEK93" s="456" t="s">
        <v>116</v>
      </c>
      <c r="BEL93" s="456" t="s">
        <v>116</v>
      </c>
      <c r="BEM93" s="456" t="s">
        <v>116</v>
      </c>
      <c r="BEN93" s="456" t="s">
        <v>116</v>
      </c>
      <c r="BEO93" s="456" t="s">
        <v>116</v>
      </c>
      <c r="BEP93" s="456" t="s">
        <v>116</v>
      </c>
      <c r="BEQ93" s="456" t="s">
        <v>116</v>
      </c>
      <c r="BER93" s="456" t="s">
        <v>116</v>
      </c>
      <c r="BES93" s="456" t="s">
        <v>116</v>
      </c>
      <c r="BET93" s="456" t="s">
        <v>116</v>
      </c>
      <c r="BEU93" s="456" t="s">
        <v>116</v>
      </c>
      <c r="BEV93" s="456" t="s">
        <v>116</v>
      </c>
      <c r="BEW93" s="456" t="s">
        <v>116</v>
      </c>
      <c r="BEX93" s="456" t="s">
        <v>116</v>
      </c>
      <c r="BEY93" s="456" t="s">
        <v>116</v>
      </c>
      <c r="BEZ93" s="456" t="s">
        <v>116</v>
      </c>
      <c r="BFA93" s="456" t="s">
        <v>116</v>
      </c>
      <c r="BFB93" s="456" t="s">
        <v>116</v>
      </c>
      <c r="BFC93" s="456" t="s">
        <v>116</v>
      </c>
      <c r="BFD93" s="456" t="s">
        <v>116</v>
      </c>
      <c r="BFE93" s="456" t="s">
        <v>116</v>
      </c>
      <c r="BFF93" s="456" t="s">
        <v>116</v>
      </c>
      <c r="BFG93" s="456" t="s">
        <v>116</v>
      </c>
      <c r="BFH93" s="456" t="s">
        <v>116</v>
      </c>
      <c r="BFI93" s="456" t="s">
        <v>116</v>
      </c>
      <c r="BFJ93" s="456" t="s">
        <v>116</v>
      </c>
      <c r="BFK93" s="456" t="s">
        <v>116</v>
      </c>
      <c r="BFL93" s="456" t="s">
        <v>116</v>
      </c>
      <c r="BFM93" s="456" t="s">
        <v>116</v>
      </c>
      <c r="BFN93" s="456" t="s">
        <v>116</v>
      </c>
      <c r="BFO93" s="456" t="s">
        <v>116</v>
      </c>
      <c r="BFP93" s="456" t="s">
        <v>116</v>
      </c>
      <c r="BFQ93" s="456" t="s">
        <v>116</v>
      </c>
      <c r="BFR93" s="456" t="s">
        <v>116</v>
      </c>
      <c r="BFS93" s="456" t="s">
        <v>116</v>
      </c>
      <c r="BFT93" s="456" t="s">
        <v>116</v>
      </c>
      <c r="BFU93" s="456" t="s">
        <v>116</v>
      </c>
      <c r="BFV93" s="456" t="s">
        <v>116</v>
      </c>
      <c r="BFW93" s="456" t="s">
        <v>116</v>
      </c>
      <c r="BFX93" s="456" t="s">
        <v>116</v>
      </c>
      <c r="BFY93" s="456" t="s">
        <v>116</v>
      </c>
      <c r="BFZ93" s="456" t="s">
        <v>116</v>
      </c>
      <c r="BGA93" s="456" t="s">
        <v>116</v>
      </c>
      <c r="BGB93" s="456" t="s">
        <v>116</v>
      </c>
      <c r="BGC93" s="456" t="s">
        <v>116</v>
      </c>
      <c r="BGD93" s="456" t="s">
        <v>116</v>
      </c>
      <c r="BGE93" s="456" t="s">
        <v>116</v>
      </c>
      <c r="BGF93" s="456" t="s">
        <v>116</v>
      </c>
      <c r="BGG93" s="456" t="s">
        <v>116</v>
      </c>
      <c r="BGH93" s="456" t="s">
        <v>116</v>
      </c>
      <c r="BGI93" s="456" t="s">
        <v>116</v>
      </c>
      <c r="BGJ93" s="456" t="s">
        <v>116</v>
      </c>
      <c r="BGK93" s="456" t="s">
        <v>116</v>
      </c>
      <c r="BGL93" s="456" t="s">
        <v>116</v>
      </c>
      <c r="BGM93" s="456" t="s">
        <v>116</v>
      </c>
      <c r="BGN93" s="456" t="s">
        <v>116</v>
      </c>
      <c r="BGO93" s="456" t="s">
        <v>116</v>
      </c>
      <c r="BGP93" s="456" t="s">
        <v>116</v>
      </c>
      <c r="BGQ93" s="456" t="s">
        <v>116</v>
      </c>
      <c r="BGR93" s="456" t="s">
        <v>116</v>
      </c>
      <c r="BGS93" s="456" t="s">
        <v>116</v>
      </c>
      <c r="BGT93" s="456" t="s">
        <v>116</v>
      </c>
      <c r="BGU93" s="456" t="s">
        <v>116</v>
      </c>
      <c r="BGV93" s="456" t="s">
        <v>116</v>
      </c>
      <c r="BGW93" s="456" t="s">
        <v>116</v>
      </c>
      <c r="BGX93" s="456" t="s">
        <v>116</v>
      </c>
      <c r="BGY93" s="456" t="s">
        <v>116</v>
      </c>
      <c r="BGZ93" s="456" t="s">
        <v>116</v>
      </c>
      <c r="BHA93" s="456" t="s">
        <v>116</v>
      </c>
      <c r="BHB93" s="456" t="s">
        <v>116</v>
      </c>
      <c r="BHC93" s="456" t="s">
        <v>116</v>
      </c>
      <c r="BHD93" s="456" t="s">
        <v>116</v>
      </c>
      <c r="BHE93" s="456" t="s">
        <v>116</v>
      </c>
      <c r="BHF93" s="456" t="s">
        <v>116</v>
      </c>
      <c r="BHG93" s="456" t="s">
        <v>116</v>
      </c>
      <c r="BHH93" s="456" t="s">
        <v>116</v>
      </c>
      <c r="BHI93" s="456" t="s">
        <v>116</v>
      </c>
      <c r="BHJ93" s="456" t="s">
        <v>116</v>
      </c>
      <c r="BHK93" s="456" t="s">
        <v>116</v>
      </c>
      <c r="BHL93" s="456" t="s">
        <v>116</v>
      </c>
      <c r="BHM93" s="456" t="s">
        <v>116</v>
      </c>
      <c r="BHN93" s="456" t="s">
        <v>116</v>
      </c>
      <c r="BHO93" s="456" t="s">
        <v>116</v>
      </c>
      <c r="BHP93" s="456" t="s">
        <v>116</v>
      </c>
      <c r="BHQ93" s="456" t="s">
        <v>116</v>
      </c>
      <c r="BHR93" s="456" t="s">
        <v>116</v>
      </c>
      <c r="BHS93" s="456" t="s">
        <v>116</v>
      </c>
      <c r="BHT93" s="456" t="s">
        <v>116</v>
      </c>
      <c r="BHU93" s="456" t="s">
        <v>116</v>
      </c>
      <c r="BHV93" s="456" t="s">
        <v>116</v>
      </c>
      <c r="BHW93" s="456" t="s">
        <v>116</v>
      </c>
      <c r="BHX93" s="456" t="s">
        <v>116</v>
      </c>
      <c r="BHY93" s="456" t="s">
        <v>116</v>
      </c>
      <c r="BHZ93" s="456" t="s">
        <v>116</v>
      </c>
      <c r="BIA93" s="456" t="s">
        <v>116</v>
      </c>
      <c r="BIB93" s="456" t="s">
        <v>116</v>
      </c>
      <c r="BIC93" s="456" t="s">
        <v>116</v>
      </c>
      <c r="BID93" s="456" t="s">
        <v>116</v>
      </c>
      <c r="BIE93" s="456" t="s">
        <v>116</v>
      </c>
      <c r="BIF93" s="456" t="s">
        <v>116</v>
      </c>
      <c r="BIG93" s="456" t="s">
        <v>116</v>
      </c>
      <c r="BIH93" s="456" t="s">
        <v>116</v>
      </c>
      <c r="BII93" s="456" t="s">
        <v>116</v>
      </c>
      <c r="BIJ93" s="456" t="s">
        <v>116</v>
      </c>
      <c r="BIK93" s="456" t="s">
        <v>116</v>
      </c>
      <c r="BIL93" s="456" t="s">
        <v>116</v>
      </c>
      <c r="BIM93" s="456" t="s">
        <v>116</v>
      </c>
      <c r="BIN93" s="456" t="s">
        <v>116</v>
      </c>
      <c r="BIO93" s="456" t="s">
        <v>116</v>
      </c>
      <c r="BIP93" s="456" t="s">
        <v>116</v>
      </c>
      <c r="BIQ93" s="456" t="s">
        <v>116</v>
      </c>
      <c r="BIR93" s="456" t="s">
        <v>116</v>
      </c>
      <c r="BIS93" s="456" t="s">
        <v>116</v>
      </c>
      <c r="BIT93" s="456" t="s">
        <v>116</v>
      </c>
      <c r="BIU93" s="456" t="s">
        <v>116</v>
      </c>
      <c r="BIV93" s="456" t="s">
        <v>116</v>
      </c>
      <c r="BIW93" s="456" t="s">
        <v>116</v>
      </c>
      <c r="BIX93" s="456" t="s">
        <v>116</v>
      </c>
      <c r="BIY93" s="456" t="s">
        <v>116</v>
      </c>
      <c r="BIZ93" s="456" t="s">
        <v>116</v>
      </c>
      <c r="BJA93" s="456" t="s">
        <v>116</v>
      </c>
      <c r="BJB93" s="456" t="s">
        <v>116</v>
      </c>
      <c r="BJC93" s="456" t="s">
        <v>116</v>
      </c>
      <c r="BJD93" s="456" t="s">
        <v>116</v>
      </c>
      <c r="BJE93" s="456" t="s">
        <v>116</v>
      </c>
      <c r="BJF93" s="456" t="s">
        <v>116</v>
      </c>
      <c r="BJG93" s="456" t="s">
        <v>116</v>
      </c>
      <c r="BJH93" s="456" t="s">
        <v>116</v>
      </c>
      <c r="BJI93" s="456" t="s">
        <v>116</v>
      </c>
      <c r="BJJ93" s="456" t="s">
        <v>116</v>
      </c>
      <c r="BJK93" s="456" t="s">
        <v>116</v>
      </c>
      <c r="BJL93" s="456" t="s">
        <v>116</v>
      </c>
      <c r="BJM93" s="456" t="s">
        <v>116</v>
      </c>
      <c r="BJN93" s="456" t="s">
        <v>116</v>
      </c>
      <c r="BJO93" s="456" t="s">
        <v>116</v>
      </c>
      <c r="BJP93" s="456" t="s">
        <v>116</v>
      </c>
      <c r="BJQ93" s="456" t="s">
        <v>116</v>
      </c>
      <c r="BJR93" s="456" t="s">
        <v>116</v>
      </c>
      <c r="BJS93" s="456" t="s">
        <v>116</v>
      </c>
      <c r="BJT93" s="456" t="s">
        <v>116</v>
      </c>
      <c r="BJU93" s="456" t="s">
        <v>116</v>
      </c>
      <c r="BJV93" s="456" t="s">
        <v>116</v>
      </c>
      <c r="BJW93" s="456" t="s">
        <v>116</v>
      </c>
      <c r="BJX93" s="456" t="s">
        <v>116</v>
      </c>
      <c r="BJY93" s="456" t="s">
        <v>116</v>
      </c>
      <c r="BJZ93" s="456" t="s">
        <v>116</v>
      </c>
      <c r="BKA93" s="456" t="s">
        <v>116</v>
      </c>
      <c r="BKB93" s="456" t="s">
        <v>116</v>
      </c>
      <c r="BKC93" s="456" t="s">
        <v>116</v>
      </c>
      <c r="BKD93" s="456" t="s">
        <v>116</v>
      </c>
      <c r="BKE93" s="456" t="s">
        <v>116</v>
      </c>
      <c r="BKF93" s="456" t="s">
        <v>116</v>
      </c>
      <c r="BKG93" s="456" t="s">
        <v>116</v>
      </c>
      <c r="BKH93" s="456" t="s">
        <v>116</v>
      </c>
      <c r="BKI93" s="456" t="s">
        <v>116</v>
      </c>
      <c r="BKJ93" s="456" t="s">
        <v>116</v>
      </c>
      <c r="BKK93" s="456" t="s">
        <v>116</v>
      </c>
      <c r="BKL93" s="456" t="s">
        <v>116</v>
      </c>
      <c r="BKM93" s="456" t="s">
        <v>116</v>
      </c>
      <c r="BKN93" s="456" t="s">
        <v>116</v>
      </c>
      <c r="BKO93" s="456" t="s">
        <v>116</v>
      </c>
      <c r="BKP93" s="456" t="s">
        <v>116</v>
      </c>
      <c r="BKQ93" s="456" t="s">
        <v>116</v>
      </c>
      <c r="BKR93" s="456" t="s">
        <v>116</v>
      </c>
      <c r="BKS93" s="456" t="s">
        <v>116</v>
      </c>
      <c r="BKT93" s="456" t="s">
        <v>116</v>
      </c>
      <c r="BKU93" s="456" t="s">
        <v>116</v>
      </c>
      <c r="BKV93" s="456" t="s">
        <v>116</v>
      </c>
      <c r="BKW93" s="456" t="s">
        <v>116</v>
      </c>
      <c r="BKX93" s="456" t="s">
        <v>116</v>
      </c>
      <c r="BKY93" s="456" t="s">
        <v>116</v>
      </c>
      <c r="BKZ93" s="456" t="s">
        <v>116</v>
      </c>
      <c r="BLA93" s="456" t="s">
        <v>116</v>
      </c>
      <c r="BLB93" s="456" t="s">
        <v>116</v>
      </c>
      <c r="BLC93" s="456" t="s">
        <v>116</v>
      </c>
      <c r="BLD93" s="456" t="s">
        <v>116</v>
      </c>
      <c r="BLE93" s="456" t="s">
        <v>116</v>
      </c>
      <c r="BLF93" s="456" t="s">
        <v>116</v>
      </c>
      <c r="BLG93" s="456" t="s">
        <v>116</v>
      </c>
      <c r="BLH93" s="456" t="s">
        <v>116</v>
      </c>
      <c r="BLI93" s="456" t="s">
        <v>116</v>
      </c>
      <c r="BLJ93" s="456" t="s">
        <v>116</v>
      </c>
      <c r="BLK93" s="456" t="s">
        <v>116</v>
      </c>
      <c r="BLL93" s="456" t="s">
        <v>116</v>
      </c>
      <c r="BLM93" s="456" t="s">
        <v>116</v>
      </c>
      <c r="BLN93" s="456" t="s">
        <v>116</v>
      </c>
      <c r="BLO93" s="456" t="s">
        <v>116</v>
      </c>
      <c r="BLP93" s="456" t="s">
        <v>116</v>
      </c>
      <c r="BLQ93" s="456" t="s">
        <v>116</v>
      </c>
      <c r="BLR93" s="456" t="s">
        <v>116</v>
      </c>
      <c r="BLS93" s="456" t="s">
        <v>116</v>
      </c>
      <c r="BLT93" s="456" t="s">
        <v>116</v>
      </c>
      <c r="BLU93" s="456" t="s">
        <v>116</v>
      </c>
      <c r="BLV93" s="456" t="s">
        <v>116</v>
      </c>
      <c r="BLW93" s="456" t="s">
        <v>116</v>
      </c>
      <c r="BLX93" s="456" t="s">
        <v>116</v>
      </c>
      <c r="BLY93" s="456" t="s">
        <v>116</v>
      </c>
      <c r="BLZ93" s="456" t="s">
        <v>116</v>
      </c>
      <c r="BMA93" s="456" t="s">
        <v>116</v>
      </c>
      <c r="BMB93" s="456" t="s">
        <v>116</v>
      </c>
      <c r="BMC93" s="456" t="s">
        <v>116</v>
      </c>
      <c r="BMD93" s="456" t="s">
        <v>116</v>
      </c>
      <c r="BME93" s="456" t="s">
        <v>116</v>
      </c>
      <c r="BMF93" s="456" t="s">
        <v>116</v>
      </c>
      <c r="BMG93" s="456" t="s">
        <v>116</v>
      </c>
      <c r="BMH93" s="456" t="s">
        <v>116</v>
      </c>
      <c r="BMI93" s="456" t="s">
        <v>116</v>
      </c>
      <c r="BMJ93" s="456" t="s">
        <v>116</v>
      </c>
      <c r="BMK93" s="456" t="s">
        <v>116</v>
      </c>
      <c r="BML93" s="456" t="s">
        <v>116</v>
      </c>
      <c r="BMM93" s="456" t="s">
        <v>116</v>
      </c>
      <c r="BMN93" s="456" t="s">
        <v>116</v>
      </c>
      <c r="BMO93" s="456" t="s">
        <v>116</v>
      </c>
      <c r="BMP93" s="456" t="s">
        <v>116</v>
      </c>
      <c r="BMQ93" s="456" t="s">
        <v>116</v>
      </c>
      <c r="BMR93" s="456" t="s">
        <v>116</v>
      </c>
      <c r="BMS93" s="456" t="s">
        <v>116</v>
      </c>
      <c r="BMT93" s="456" t="s">
        <v>116</v>
      </c>
      <c r="BMU93" s="456" t="s">
        <v>116</v>
      </c>
      <c r="BMV93" s="456" t="s">
        <v>116</v>
      </c>
      <c r="BMW93" s="456" t="s">
        <v>116</v>
      </c>
      <c r="BMX93" s="456" t="s">
        <v>116</v>
      </c>
      <c r="BMY93" s="456" t="s">
        <v>116</v>
      </c>
      <c r="BMZ93" s="456" t="s">
        <v>116</v>
      </c>
      <c r="BNA93" s="456" t="s">
        <v>116</v>
      </c>
      <c r="BNB93" s="456" t="s">
        <v>116</v>
      </c>
      <c r="BNC93" s="456" t="s">
        <v>116</v>
      </c>
      <c r="BND93" s="456" t="s">
        <v>116</v>
      </c>
      <c r="BNE93" s="456" t="s">
        <v>116</v>
      </c>
      <c r="BNF93" s="456" t="s">
        <v>116</v>
      </c>
      <c r="BNG93" s="456" t="s">
        <v>116</v>
      </c>
      <c r="BNH93" s="456" t="s">
        <v>116</v>
      </c>
      <c r="BNI93" s="456" t="s">
        <v>116</v>
      </c>
      <c r="BNJ93" s="456" t="s">
        <v>116</v>
      </c>
      <c r="BNK93" s="456" t="s">
        <v>116</v>
      </c>
      <c r="BNL93" s="456" t="s">
        <v>116</v>
      </c>
      <c r="BNM93" s="456" t="s">
        <v>116</v>
      </c>
      <c r="BNN93" s="456" t="s">
        <v>116</v>
      </c>
      <c r="BNO93" s="456" t="s">
        <v>116</v>
      </c>
      <c r="BNP93" s="456" t="s">
        <v>116</v>
      </c>
      <c r="BNQ93" s="456" t="s">
        <v>116</v>
      </c>
      <c r="BNR93" s="456" t="s">
        <v>116</v>
      </c>
      <c r="BNS93" s="456" t="s">
        <v>116</v>
      </c>
      <c r="BNT93" s="456" t="s">
        <v>116</v>
      </c>
      <c r="BNU93" s="456" t="s">
        <v>116</v>
      </c>
      <c r="BNV93" s="456" t="s">
        <v>116</v>
      </c>
      <c r="BNW93" s="456" t="s">
        <v>116</v>
      </c>
      <c r="BNX93" s="456" t="s">
        <v>116</v>
      </c>
      <c r="BNY93" s="456" t="s">
        <v>116</v>
      </c>
      <c r="BNZ93" s="456" t="s">
        <v>116</v>
      </c>
      <c r="BOA93" s="456" t="s">
        <v>116</v>
      </c>
      <c r="BOB93" s="456" t="s">
        <v>116</v>
      </c>
      <c r="BOC93" s="456" t="s">
        <v>116</v>
      </c>
      <c r="BOD93" s="456" t="s">
        <v>116</v>
      </c>
      <c r="BOE93" s="456" t="s">
        <v>116</v>
      </c>
      <c r="BOF93" s="456" t="s">
        <v>116</v>
      </c>
      <c r="BOG93" s="456" t="s">
        <v>116</v>
      </c>
      <c r="BOH93" s="456" t="s">
        <v>116</v>
      </c>
      <c r="BOI93" s="456" t="s">
        <v>116</v>
      </c>
      <c r="BOJ93" s="456" t="s">
        <v>116</v>
      </c>
      <c r="BOK93" s="456" t="s">
        <v>116</v>
      </c>
      <c r="BOL93" s="456" t="s">
        <v>116</v>
      </c>
      <c r="BOM93" s="456" t="s">
        <v>116</v>
      </c>
      <c r="BON93" s="456" t="s">
        <v>116</v>
      </c>
      <c r="BOO93" s="456" t="s">
        <v>116</v>
      </c>
      <c r="BOP93" s="456" t="s">
        <v>116</v>
      </c>
      <c r="BOQ93" s="456" t="s">
        <v>116</v>
      </c>
      <c r="BOR93" s="456" t="s">
        <v>116</v>
      </c>
      <c r="BOS93" s="456" t="s">
        <v>116</v>
      </c>
      <c r="BOT93" s="456" t="s">
        <v>116</v>
      </c>
      <c r="BOU93" s="456" t="s">
        <v>116</v>
      </c>
      <c r="BOV93" s="456" t="s">
        <v>116</v>
      </c>
      <c r="BOW93" s="456" t="s">
        <v>116</v>
      </c>
      <c r="BOX93" s="456" t="s">
        <v>116</v>
      </c>
      <c r="BOY93" s="456" t="s">
        <v>116</v>
      </c>
      <c r="BOZ93" s="456" t="s">
        <v>116</v>
      </c>
      <c r="BPA93" s="456" t="s">
        <v>116</v>
      </c>
      <c r="BPB93" s="456" t="s">
        <v>116</v>
      </c>
      <c r="BPC93" s="456" t="s">
        <v>116</v>
      </c>
      <c r="BPD93" s="456" t="s">
        <v>116</v>
      </c>
      <c r="BPE93" s="456" t="s">
        <v>116</v>
      </c>
      <c r="BPF93" s="456" t="s">
        <v>116</v>
      </c>
      <c r="BPG93" s="456" t="s">
        <v>116</v>
      </c>
      <c r="BPH93" s="456" t="s">
        <v>116</v>
      </c>
      <c r="BPI93" s="456" t="s">
        <v>116</v>
      </c>
      <c r="BPJ93" s="456" t="s">
        <v>116</v>
      </c>
      <c r="BPK93" s="456" t="s">
        <v>116</v>
      </c>
      <c r="BPL93" s="456" t="s">
        <v>116</v>
      </c>
      <c r="BPM93" s="456" t="s">
        <v>116</v>
      </c>
      <c r="BPN93" s="456" t="s">
        <v>116</v>
      </c>
      <c r="BPO93" s="456" t="s">
        <v>116</v>
      </c>
      <c r="BPP93" s="456" t="s">
        <v>116</v>
      </c>
      <c r="BPQ93" s="456" t="s">
        <v>116</v>
      </c>
      <c r="BPR93" s="456" t="s">
        <v>116</v>
      </c>
      <c r="BPS93" s="456" t="s">
        <v>116</v>
      </c>
      <c r="BPT93" s="456" t="s">
        <v>116</v>
      </c>
      <c r="BPU93" s="456" t="s">
        <v>116</v>
      </c>
      <c r="BPV93" s="456" t="s">
        <v>116</v>
      </c>
      <c r="BPW93" s="456" t="s">
        <v>116</v>
      </c>
      <c r="BPX93" s="456" t="s">
        <v>116</v>
      </c>
      <c r="BPY93" s="456" t="s">
        <v>116</v>
      </c>
      <c r="BPZ93" s="456" t="s">
        <v>116</v>
      </c>
      <c r="BQA93" s="456" t="s">
        <v>116</v>
      </c>
      <c r="BQB93" s="456" t="s">
        <v>116</v>
      </c>
      <c r="BQC93" s="456" t="s">
        <v>116</v>
      </c>
      <c r="BQD93" s="456" t="s">
        <v>116</v>
      </c>
      <c r="BQE93" s="456" t="s">
        <v>116</v>
      </c>
      <c r="BQF93" s="456" t="s">
        <v>116</v>
      </c>
      <c r="BQG93" s="456" t="s">
        <v>116</v>
      </c>
      <c r="BQH93" s="456" t="s">
        <v>116</v>
      </c>
      <c r="BQI93" s="456" t="s">
        <v>116</v>
      </c>
      <c r="BQJ93" s="456" t="s">
        <v>116</v>
      </c>
      <c r="BQK93" s="456" t="s">
        <v>116</v>
      </c>
      <c r="BQL93" s="456" t="s">
        <v>116</v>
      </c>
      <c r="BQM93" s="456" t="s">
        <v>116</v>
      </c>
      <c r="BQN93" s="456" t="s">
        <v>116</v>
      </c>
      <c r="BQO93" s="456" t="s">
        <v>116</v>
      </c>
      <c r="BQP93" s="456" t="s">
        <v>116</v>
      </c>
      <c r="BQQ93" s="456" t="s">
        <v>116</v>
      </c>
      <c r="BQR93" s="456" t="s">
        <v>116</v>
      </c>
      <c r="BQS93" s="456" t="s">
        <v>116</v>
      </c>
      <c r="BQT93" s="456" t="s">
        <v>116</v>
      </c>
      <c r="BQU93" s="456" t="s">
        <v>116</v>
      </c>
      <c r="BQV93" s="456" t="s">
        <v>116</v>
      </c>
      <c r="BQW93" s="456" t="s">
        <v>116</v>
      </c>
      <c r="BQX93" s="456" t="s">
        <v>116</v>
      </c>
      <c r="BQY93" s="456" t="s">
        <v>116</v>
      </c>
      <c r="BQZ93" s="456" t="s">
        <v>116</v>
      </c>
      <c r="BRA93" s="456" t="s">
        <v>116</v>
      </c>
      <c r="BRB93" s="456" t="s">
        <v>116</v>
      </c>
      <c r="BRC93" s="456" t="s">
        <v>116</v>
      </c>
      <c r="BRD93" s="456" t="s">
        <v>116</v>
      </c>
      <c r="BRE93" s="456" t="s">
        <v>116</v>
      </c>
      <c r="BRF93" s="456" t="s">
        <v>116</v>
      </c>
      <c r="BRG93" s="456" t="s">
        <v>116</v>
      </c>
      <c r="BRH93" s="456" t="s">
        <v>116</v>
      </c>
      <c r="BRI93" s="456" t="s">
        <v>116</v>
      </c>
      <c r="BRJ93" s="456" t="s">
        <v>116</v>
      </c>
      <c r="BRK93" s="456" t="s">
        <v>116</v>
      </c>
      <c r="BRL93" s="456" t="s">
        <v>116</v>
      </c>
      <c r="BRM93" s="456" t="s">
        <v>116</v>
      </c>
      <c r="BRN93" s="456" t="s">
        <v>116</v>
      </c>
      <c r="BRO93" s="456" t="s">
        <v>116</v>
      </c>
      <c r="BRP93" s="456" t="s">
        <v>116</v>
      </c>
      <c r="BRQ93" s="456" t="s">
        <v>116</v>
      </c>
      <c r="BRR93" s="456" t="s">
        <v>116</v>
      </c>
      <c r="BRS93" s="456" t="s">
        <v>116</v>
      </c>
      <c r="BRT93" s="456" t="s">
        <v>116</v>
      </c>
      <c r="BRU93" s="456" t="s">
        <v>116</v>
      </c>
      <c r="BRV93" s="456" t="s">
        <v>116</v>
      </c>
      <c r="BRW93" s="456" t="s">
        <v>116</v>
      </c>
      <c r="BRX93" s="456" t="s">
        <v>116</v>
      </c>
      <c r="BRY93" s="456" t="s">
        <v>116</v>
      </c>
      <c r="BRZ93" s="456" t="s">
        <v>116</v>
      </c>
      <c r="BSA93" s="456" t="s">
        <v>116</v>
      </c>
      <c r="BSB93" s="456" t="s">
        <v>116</v>
      </c>
      <c r="BSC93" s="456" t="s">
        <v>116</v>
      </c>
      <c r="BSD93" s="456" t="s">
        <v>116</v>
      </c>
      <c r="BSE93" s="456" t="s">
        <v>116</v>
      </c>
      <c r="BSF93" s="456" t="s">
        <v>116</v>
      </c>
      <c r="BSG93" s="456" t="s">
        <v>116</v>
      </c>
      <c r="BSH93" s="456" t="s">
        <v>116</v>
      </c>
      <c r="BSI93" s="456" t="s">
        <v>116</v>
      </c>
      <c r="BSJ93" s="456" t="s">
        <v>116</v>
      </c>
      <c r="BSK93" s="456" t="s">
        <v>116</v>
      </c>
      <c r="BSL93" s="456" t="s">
        <v>116</v>
      </c>
      <c r="BSM93" s="456" t="s">
        <v>116</v>
      </c>
      <c r="BSN93" s="456" t="s">
        <v>116</v>
      </c>
      <c r="BSO93" s="456" t="s">
        <v>116</v>
      </c>
      <c r="BSP93" s="456" t="s">
        <v>116</v>
      </c>
      <c r="BSQ93" s="456" t="s">
        <v>116</v>
      </c>
      <c r="BSR93" s="456" t="s">
        <v>116</v>
      </c>
      <c r="BSS93" s="456" t="s">
        <v>116</v>
      </c>
      <c r="BST93" s="456" t="s">
        <v>116</v>
      </c>
      <c r="BSU93" s="456" t="s">
        <v>116</v>
      </c>
      <c r="BSV93" s="456" t="s">
        <v>116</v>
      </c>
      <c r="BSW93" s="456" t="s">
        <v>116</v>
      </c>
      <c r="BSX93" s="456" t="s">
        <v>116</v>
      </c>
      <c r="BSY93" s="456" t="s">
        <v>116</v>
      </c>
      <c r="BSZ93" s="456" t="s">
        <v>116</v>
      </c>
      <c r="BTA93" s="456" t="s">
        <v>116</v>
      </c>
      <c r="BTB93" s="456" t="s">
        <v>116</v>
      </c>
      <c r="BTC93" s="456" t="s">
        <v>116</v>
      </c>
      <c r="BTD93" s="456" t="s">
        <v>116</v>
      </c>
      <c r="BTE93" s="456" t="s">
        <v>116</v>
      </c>
      <c r="BTF93" s="456" t="s">
        <v>116</v>
      </c>
      <c r="BTG93" s="456" t="s">
        <v>116</v>
      </c>
      <c r="BTH93" s="456" t="s">
        <v>116</v>
      </c>
      <c r="BTI93" s="456" t="s">
        <v>116</v>
      </c>
      <c r="BTJ93" s="456" t="s">
        <v>116</v>
      </c>
      <c r="BTK93" s="456" t="s">
        <v>116</v>
      </c>
      <c r="BTL93" s="456" t="s">
        <v>116</v>
      </c>
      <c r="BTM93" s="456" t="s">
        <v>116</v>
      </c>
      <c r="BTN93" s="456" t="s">
        <v>116</v>
      </c>
      <c r="BTO93" s="456" t="s">
        <v>116</v>
      </c>
      <c r="BTP93" s="456" t="s">
        <v>116</v>
      </c>
      <c r="BTQ93" s="456" t="s">
        <v>116</v>
      </c>
      <c r="BTR93" s="456" t="s">
        <v>116</v>
      </c>
      <c r="BTS93" s="456" t="s">
        <v>116</v>
      </c>
      <c r="BTT93" s="456" t="s">
        <v>116</v>
      </c>
      <c r="BTU93" s="456" t="s">
        <v>116</v>
      </c>
      <c r="BTV93" s="456" t="s">
        <v>116</v>
      </c>
      <c r="BTW93" s="456" t="s">
        <v>116</v>
      </c>
      <c r="BTX93" s="456" t="s">
        <v>116</v>
      </c>
      <c r="BTY93" s="456" t="s">
        <v>116</v>
      </c>
      <c r="BTZ93" s="456" t="s">
        <v>116</v>
      </c>
      <c r="BUA93" s="456" t="s">
        <v>116</v>
      </c>
      <c r="BUB93" s="456" t="s">
        <v>116</v>
      </c>
      <c r="BUC93" s="456" t="s">
        <v>116</v>
      </c>
      <c r="BUD93" s="456" t="s">
        <v>116</v>
      </c>
      <c r="BUE93" s="456" t="s">
        <v>116</v>
      </c>
      <c r="BUF93" s="456" t="s">
        <v>116</v>
      </c>
      <c r="BUG93" s="456" t="s">
        <v>116</v>
      </c>
      <c r="BUH93" s="456" t="s">
        <v>116</v>
      </c>
      <c r="BUI93" s="456" t="s">
        <v>116</v>
      </c>
      <c r="BUJ93" s="456" t="s">
        <v>116</v>
      </c>
      <c r="BUK93" s="456" t="s">
        <v>116</v>
      </c>
      <c r="BUL93" s="456" t="s">
        <v>116</v>
      </c>
      <c r="BUM93" s="456" t="s">
        <v>116</v>
      </c>
      <c r="BUN93" s="456" t="s">
        <v>116</v>
      </c>
      <c r="BUO93" s="456" t="s">
        <v>116</v>
      </c>
      <c r="BUP93" s="456" t="s">
        <v>116</v>
      </c>
      <c r="BUQ93" s="456" t="s">
        <v>116</v>
      </c>
      <c r="BUR93" s="456" t="s">
        <v>116</v>
      </c>
      <c r="BUS93" s="456" t="s">
        <v>116</v>
      </c>
      <c r="BUT93" s="456" t="s">
        <v>116</v>
      </c>
      <c r="BUU93" s="456" t="s">
        <v>116</v>
      </c>
      <c r="BUV93" s="456" t="s">
        <v>116</v>
      </c>
      <c r="BUW93" s="456" t="s">
        <v>116</v>
      </c>
      <c r="BUX93" s="456" t="s">
        <v>116</v>
      </c>
      <c r="BUY93" s="456" t="s">
        <v>116</v>
      </c>
      <c r="BUZ93" s="456" t="s">
        <v>116</v>
      </c>
      <c r="BVA93" s="456" t="s">
        <v>116</v>
      </c>
      <c r="BVB93" s="456" t="s">
        <v>116</v>
      </c>
      <c r="BVC93" s="456" t="s">
        <v>116</v>
      </c>
      <c r="BVD93" s="456" t="s">
        <v>116</v>
      </c>
      <c r="BVE93" s="456" t="s">
        <v>116</v>
      </c>
      <c r="BVF93" s="456" t="s">
        <v>116</v>
      </c>
      <c r="BVG93" s="456" t="s">
        <v>116</v>
      </c>
      <c r="BVH93" s="456" t="s">
        <v>116</v>
      </c>
      <c r="BVI93" s="456" t="s">
        <v>116</v>
      </c>
      <c r="BVJ93" s="456" t="s">
        <v>116</v>
      </c>
      <c r="BVK93" s="456" t="s">
        <v>116</v>
      </c>
      <c r="BVL93" s="456" t="s">
        <v>116</v>
      </c>
      <c r="BVM93" s="456" t="s">
        <v>116</v>
      </c>
      <c r="BVN93" s="456" t="s">
        <v>116</v>
      </c>
      <c r="BVO93" s="456" t="s">
        <v>116</v>
      </c>
      <c r="BVP93" s="456" t="s">
        <v>116</v>
      </c>
      <c r="BVQ93" s="456" t="s">
        <v>116</v>
      </c>
      <c r="BVR93" s="456" t="s">
        <v>116</v>
      </c>
      <c r="BVS93" s="456" t="s">
        <v>116</v>
      </c>
      <c r="BVT93" s="456" t="s">
        <v>116</v>
      </c>
      <c r="BVU93" s="456" t="s">
        <v>116</v>
      </c>
      <c r="BVV93" s="456" t="s">
        <v>116</v>
      </c>
      <c r="BVW93" s="456" t="s">
        <v>116</v>
      </c>
      <c r="BVX93" s="456" t="s">
        <v>116</v>
      </c>
      <c r="BVY93" s="456" t="s">
        <v>116</v>
      </c>
      <c r="BVZ93" s="456" t="s">
        <v>116</v>
      </c>
      <c r="BWA93" s="456" t="s">
        <v>116</v>
      </c>
      <c r="BWB93" s="456" t="s">
        <v>116</v>
      </c>
      <c r="BWC93" s="456" t="s">
        <v>116</v>
      </c>
      <c r="BWD93" s="456" t="s">
        <v>116</v>
      </c>
      <c r="BWE93" s="456" t="s">
        <v>116</v>
      </c>
      <c r="BWF93" s="456" t="s">
        <v>116</v>
      </c>
      <c r="BWG93" s="456" t="s">
        <v>116</v>
      </c>
      <c r="BWH93" s="456" t="s">
        <v>116</v>
      </c>
      <c r="BWI93" s="456" t="s">
        <v>116</v>
      </c>
      <c r="BWJ93" s="456" t="s">
        <v>116</v>
      </c>
      <c r="BWK93" s="456" t="s">
        <v>116</v>
      </c>
      <c r="BWL93" s="456" t="s">
        <v>116</v>
      </c>
      <c r="BWM93" s="456" t="s">
        <v>116</v>
      </c>
      <c r="BWN93" s="456" t="s">
        <v>116</v>
      </c>
      <c r="BWO93" s="456" t="s">
        <v>116</v>
      </c>
      <c r="BWP93" s="456" t="s">
        <v>116</v>
      </c>
      <c r="BWQ93" s="456" t="s">
        <v>116</v>
      </c>
      <c r="BWR93" s="456" t="s">
        <v>116</v>
      </c>
      <c r="BWS93" s="456" t="s">
        <v>116</v>
      </c>
      <c r="BWT93" s="456" t="s">
        <v>116</v>
      </c>
      <c r="BWU93" s="456" t="s">
        <v>116</v>
      </c>
      <c r="BWV93" s="456" t="s">
        <v>116</v>
      </c>
      <c r="BWW93" s="456" t="s">
        <v>116</v>
      </c>
      <c r="BWX93" s="456" t="s">
        <v>116</v>
      </c>
      <c r="BWY93" s="456" t="s">
        <v>116</v>
      </c>
      <c r="BWZ93" s="456" t="s">
        <v>116</v>
      </c>
      <c r="BXA93" s="456" t="s">
        <v>116</v>
      </c>
      <c r="BXB93" s="456" t="s">
        <v>116</v>
      </c>
      <c r="BXC93" s="456" t="s">
        <v>116</v>
      </c>
      <c r="BXD93" s="456" t="s">
        <v>116</v>
      </c>
      <c r="BXE93" s="456" t="s">
        <v>116</v>
      </c>
      <c r="BXF93" s="456" t="s">
        <v>116</v>
      </c>
      <c r="BXG93" s="456" t="s">
        <v>116</v>
      </c>
      <c r="BXH93" s="456" t="s">
        <v>116</v>
      </c>
      <c r="BXI93" s="456" t="s">
        <v>116</v>
      </c>
      <c r="BXJ93" s="456" t="s">
        <v>116</v>
      </c>
      <c r="BXK93" s="456" t="s">
        <v>116</v>
      </c>
      <c r="BXL93" s="456" t="s">
        <v>116</v>
      </c>
      <c r="BXM93" s="456" t="s">
        <v>116</v>
      </c>
      <c r="BXN93" s="456" t="s">
        <v>116</v>
      </c>
      <c r="BXO93" s="456" t="s">
        <v>116</v>
      </c>
      <c r="BXP93" s="456" t="s">
        <v>116</v>
      </c>
      <c r="BXQ93" s="456" t="s">
        <v>116</v>
      </c>
      <c r="BXR93" s="456" t="s">
        <v>116</v>
      </c>
      <c r="BXS93" s="456" t="s">
        <v>116</v>
      </c>
      <c r="BXT93" s="456" t="s">
        <v>116</v>
      </c>
      <c r="BXU93" s="456" t="s">
        <v>116</v>
      </c>
      <c r="BXV93" s="456" t="s">
        <v>116</v>
      </c>
      <c r="BXW93" s="456" t="s">
        <v>116</v>
      </c>
      <c r="BXX93" s="456" t="s">
        <v>116</v>
      </c>
      <c r="BXY93" s="456" t="s">
        <v>116</v>
      </c>
      <c r="BXZ93" s="456" t="s">
        <v>116</v>
      </c>
      <c r="BYA93" s="456" t="s">
        <v>116</v>
      </c>
      <c r="BYB93" s="456" t="s">
        <v>116</v>
      </c>
      <c r="BYC93" s="456" t="s">
        <v>116</v>
      </c>
      <c r="BYD93" s="456" t="s">
        <v>116</v>
      </c>
      <c r="BYE93" s="456" t="s">
        <v>116</v>
      </c>
      <c r="BYF93" s="456" t="s">
        <v>116</v>
      </c>
      <c r="BYG93" s="456" t="s">
        <v>116</v>
      </c>
      <c r="BYH93" s="456" t="s">
        <v>116</v>
      </c>
      <c r="BYI93" s="456" t="s">
        <v>116</v>
      </c>
      <c r="BYJ93" s="456" t="s">
        <v>116</v>
      </c>
      <c r="BYK93" s="456" t="s">
        <v>116</v>
      </c>
      <c r="BYL93" s="456" t="s">
        <v>116</v>
      </c>
      <c r="BYM93" s="456" t="s">
        <v>116</v>
      </c>
      <c r="BYN93" s="456" t="s">
        <v>116</v>
      </c>
      <c r="BYO93" s="456" t="s">
        <v>116</v>
      </c>
      <c r="BYP93" s="456" t="s">
        <v>116</v>
      </c>
      <c r="BYQ93" s="456" t="s">
        <v>116</v>
      </c>
      <c r="BYR93" s="456" t="s">
        <v>116</v>
      </c>
      <c r="BYS93" s="456" t="s">
        <v>116</v>
      </c>
      <c r="BYT93" s="456" t="s">
        <v>116</v>
      </c>
      <c r="BYU93" s="456" t="s">
        <v>116</v>
      </c>
      <c r="BYV93" s="456" t="s">
        <v>116</v>
      </c>
      <c r="BYW93" s="456" t="s">
        <v>116</v>
      </c>
      <c r="BYX93" s="456" t="s">
        <v>116</v>
      </c>
      <c r="BYY93" s="456" t="s">
        <v>116</v>
      </c>
      <c r="BYZ93" s="456" t="s">
        <v>116</v>
      </c>
      <c r="BZA93" s="456" t="s">
        <v>116</v>
      </c>
      <c r="BZB93" s="456" t="s">
        <v>116</v>
      </c>
      <c r="BZC93" s="456" t="s">
        <v>116</v>
      </c>
      <c r="BZD93" s="456" t="s">
        <v>116</v>
      </c>
      <c r="BZE93" s="456" t="s">
        <v>116</v>
      </c>
      <c r="BZF93" s="456" t="s">
        <v>116</v>
      </c>
      <c r="BZG93" s="456" t="s">
        <v>116</v>
      </c>
      <c r="BZH93" s="456" t="s">
        <v>116</v>
      </c>
      <c r="BZI93" s="456" t="s">
        <v>116</v>
      </c>
      <c r="BZJ93" s="456" t="s">
        <v>116</v>
      </c>
      <c r="BZK93" s="456" t="s">
        <v>116</v>
      </c>
      <c r="BZL93" s="456" t="s">
        <v>116</v>
      </c>
      <c r="BZM93" s="456" t="s">
        <v>116</v>
      </c>
      <c r="BZN93" s="456" t="s">
        <v>116</v>
      </c>
      <c r="BZO93" s="456" t="s">
        <v>116</v>
      </c>
      <c r="BZP93" s="456" t="s">
        <v>116</v>
      </c>
      <c r="BZQ93" s="456" t="s">
        <v>116</v>
      </c>
      <c r="BZR93" s="456" t="s">
        <v>116</v>
      </c>
      <c r="BZS93" s="456" t="s">
        <v>116</v>
      </c>
      <c r="BZT93" s="456" t="s">
        <v>116</v>
      </c>
      <c r="BZU93" s="456" t="s">
        <v>116</v>
      </c>
      <c r="BZV93" s="456" t="s">
        <v>116</v>
      </c>
      <c r="BZW93" s="456" t="s">
        <v>116</v>
      </c>
      <c r="BZX93" s="456" t="s">
        <v>116</v>
      </c>
      <c r="BZY93" s="456" t="s">
        <v>116</v>
      </c>
      <c r="BZZ93" s="456" t="s">
        <v>116</v>
      </c>
      <c r="CAA93" s="456" t="s">
        <v>116</v>
      </c>
      <c r="CAB93" s="456" t="s">
        <v>116</v>
      </c>
      <c r="CAC93" s="456" t="s">
        <v>116</v>
      </c>
      <c r="CAD93" s="456" t="s">
        <v>116</v>
      </c>
      <c r="CAE93" s="456" t="s">
        <v>116</v>
      </c>
      <c r="CAF93" s="456" t="s">
        <v>116</v>
      </c>
      <c r="CAG93" s="456" t="s">
        <v>116</v>
      </c>
      <c r="CAH93" s="456" t="s">
        <v>116</v>
      </c>
      <c r="CAI93" s="456" t="s">
        <v>116</v>
      </c>
      <c r="CAJ93" s="456" t="s">
        <v>116</v>
      </c>
      <c r="CAK93" s="456" t="s">
        <v>116</v>
      </c>
      <c r="CAL93" s="456" t="s">
        <v>116</v>
      </c>
      <c r="CAM93" s="456" t="s">
        <v>116</v>
      </c>
      <c r="CAN93" s="456" t="s">
        <v>116</v>
      </c>
      <c r="CAO93" s="456" t="s">
        <v>116</v>
      </c>
      <c r="CAP93" s="456" t="s">
        <v>116</v>
      </c>
      <c r="CAQ93" s="456" t="s">
        <v>116</v>
      </c>
      <c r="CAR93" s="456" t="s">
        <v>116</v>
      </c>
      <c r="CAS93" s="456" t="s">
        <v>116</v>
      </c>
      <c r="CAT93" s="456" t="s">
        <v>116</v>
      </c>
      <c r="CAU93" s="456" t="s">
        <v>116</v>
      </c>
      <c r="CAV93" s="456" t="s">
        <v>116</v>
      </c>
      <c r="CAW93" s="456" t="s">
        <v>116</v>
      </c>
      <c r="CAX93" s="456" t="s">
        <v>116</v>
      </c>
      <c r="CAY93" s="456" t="s">
        <v>116</v>
      </c>
      <c r="CAZ93" s="456" t="s">
        <v>116</v>
      </c>
      <c r="CBA93" s="456" t="s">
        <v>116</v>
      </c>
      <c r="CBB93" s="456" t="s">
        <v>116</v>
      </c>
      <c r="CBC93" s="456" t="s">
        <v>116</v>
      </c>
      <c r="CBD93" s="456" t="s">
        <v>116</v>
      </c>
      <c r="CBE93" s="456" t="s">
        <v>116</v>
      </c>
      <c r="CBF93" s="456" t="s">
        <v>116</v>
      </c>
      <c r="CBG93" s="456" t="s">
        <v>116</v>
      </c>
      <c r="CBH93" s="456" t="s">
        <v>116</v>
      </c>
      <c r="CBI93" s="456" t="s">
        <v>116</v>
      </c>
      <c r="CBJ93" s="456" t="s">
        <v>116</v>
      </c>
      <c r="CBK93" s="456" t="s">
        <v>116</v>
      </c>
      <c r="CBL93" s="456" t="s">
        <v>116</v>
      </c>
      <c r="CBM93" s="456" t="s">
        <v>116</v>
      </c>
      <c r="CBN93" s="456" t="s">
        <v>116</v>
      </c>
      <c r="CBO93" s="456" t="s">
        <v>116</v>
      </c>
      <c r="CBP93" s="456" t="s">
        <v>116</v>
      </c>
      <c r="CBQ93" s="456" t="s">
        <v>116</v>
      </c>
      <c r="CBR93" s="456" t="s">
        <v>116</v>
      </c>
      <c r="CBS93" s="456" t="s">
        <v>116</v>
      </c>
      <c r="CBT93" s="456" t="s">
        <v>116</v>
      </c>
      <c r="CBU93" s="456" t="s">
        <v>116</v>
      </c>
      <c r="CBV93" s="456" t="s">
        <v>116</v>
      </c>
      <c r="CBW93" s="456" t="s">
        <v>116</v>
      </c>
      <c r="CBX93" s="456" t="s">
        <v>116</v>
      </c>
      <c r="CBY93" s="456" t="s">
        <v>116</v>
      </c>
      <c r="CBZ93" s="456" t="s">
        <v>116</v>
      </c>
      <c r="CCA93" s="456" t="s">
        <v>116</v>
      </c>
      <c r="CCB93" s="456" t="s">
        <v>116</v>
      </c>
      <c r="CCC93" s="456" t="s">
        <v>116</v>
      </c>
      <c r="CCD93" s="456" t="s">
        <v>116</v>
      </c>
      <c r="CCE93" s="456" t="s">
        <v>116</v>
      </c>
      <c r="CCF93" s="456" t="s">
        <v>116</v>
      </c>
      <c r="CCG93" s="456" t="s">
        <v>116</v>
      </c>
      <c r="CCH93" s="456" t="s">
        <v>116</v>
      </c>
      <c r="CCI93" s="456" t="s">
        <v>116</v>
      </c>
      <c r="CCJ93" s="456" t="s">
        <v>116</v>
      </c>
      <c r="CCK93" s="456" t="s">
        <v>116</v>
      </c>
      <c r="CCL93" s="456" t="s">
        <v>116</v>
      </c>
      <c r="CCM93" s="456" t="s">
        <v>116</v>
      </c>
      <c r="CCN93" s="456" t="s">
        <v>116</v>
      </c>
      <c r="CCO93" s="456" t="s">
        <v>116</v>
      </c>
      <c r="CCP93" s="456" t="s">
        <v>116</v>
      </c>
      <c r="CCQ93" s="456" t="s">
        <v>116</v>
      </c>
      <c r="CCR93" s="456" t="s">
        <v>116</v>
      </c>
      <c r="CCS93" s="456" t="s">
        <v>116</v>
      </c>
      <c r="CCT93" s="456" t="s">
        <v>116</v>
      </c>
      <c r="CCU93" s="456" t="s">
        <v>116</v>
      </c>
      <c r="CCV93" s="456" t="s">
        <v>116</v>
      </c>
      <c r="CCW93" s="456" t="s">
        <v>116</v>
      </c>
      <c r="CCX93" s="456" t="s">
        <v>116</v>
      </c>
      <c r="CCY93" s="456" t="s">
        <v>116</v>
      </c>
      <c r="CCZ93" s="456" t="s">
        <v>116</v>
      </c>
      <c r="CDA93" s="456" t="s">
        <v>116</v>
      </c>
      <c r="CDB93" s="456" t="s">
        <v>116</v>
      </c>
      <c r="CDC93" s="456" t="s">
        <v>116</v>
      </c>
      <c r="CDD93" s="456" t="s">
        <v>116</v>
      </c>
      <c r="CDE93" s="456" t="s">
        <v>116</v>
      </c>
      <c r="CDF93" s="456" t="s">
        <v>116</v>
      </c>
      <c r="CDG93" s="456" t="s">
        <v>116</v>
      </c>
      <c r="CDH93" s="456" t="s">
        <v>116</v>
      </c>
      <c r="CDI93" s="456" t="s">
        <v>116</v>
      </c>
      <c r="CDJ93" s="456" t="s">
        <v>116</v>
      </c>
      <c r="CDK93" s="456" t="s">
        <v>116</v>
      </c>
      <c r="CDL93" s="456" t="s">
        <v>116</v>
      </c>
      <c r="CDM93" s="456" t="s">
        <v>116</v>
      </c>
      <c r="CDN93" s="456" t="s">
        <v>116</v>
      </c>
      <c r="CDO93" s="456" t="s">
        <v>116</v>
      </c>
      <c r="CDP93" s="456" t="s">
        <v>116</v>
      </c>
      <c r="CDQ93" s="456" t="s">
        <v>116</v>
      </c>
      <c r="CDR93" s="456" t="s">
        <v>116</v>
      </c>
      <c r="CDS93" s="456" t="s">
        <v>116</v>
      </c>
      <c r="CDT93" s="456" t="s">
        <v>116</v>
      </c>
      <c r="CDU93" s="456" t="s">
        <v>116</v>
      </c>
      <c r="CDV93" s="456" t="s">
        <v>116</v>
      </c>
      <c r="CDW93" s="456" t="s">
        <v>116</v>
      </c>
      <c r="CDX93" s="456" t="s">
        <v>116</v>
      </c>
      <c r="CDY93" s="456" t="s">
        <v>116</v>
      </c>
      <c r="CDZ93" s="456" t="s">
        <v>116</v>
      </c>
      <c r="CEA93" s="456" t="s">
        <v>116</v>
      </c>
      <c r="CEB93" s="456" t="s">
        <v>116</v>
      </c>
      <c r="CEC93" s="456" t="s">
        <v>116</v>
      </c>
      <c r="CED93" s="456" t="s">
        <v>116</v>
      </c>
      <c r="CEE93" s="456" t="s">
        <v>116</v>
      </c>
      <c r="CEF93" s="456" t="s">
        <v>116</v>
      </c>
      <c r="CEG93" s="456" t="s">
        <v>116</v>
      </c>
      <c r="CEH93" s="456" t="s">
        <v>116</v>
      </c>
      <c r="CEI93" s="456" t="s">
        <v>116</v>
      </c>
      <c r="CEJ93" s="456" t="s">
        <v>116</v>
      </c>
      <c r="CEK93" s="456" t="s">
        <v>116</v>
      </c>
      <c r="CEL93" s="456" t="s">
        <v>116</v>
      </c>
      <c r="CEM93" s="456" t="s">
        <v>116</v>
      </c>
      <c r="CEN93" s="456" t="s">
        <v>116</v>
      </c>
      <c r="CEO93" s="456" t="s">
        <v>116</v>
      </c>
      <c r="CEP93" s="456" t="s">
        <v>116</v>
      </c>
      <c r="CEQ93" s="456" t="s">
        <v>116</v>
      </c>
      <c r="CER93" s="456" t="s">
        <v>116</v>
      </c>
      <c r="CES93" s="456" t="s">
        <v>116</v>
      </c>
      <c r="CET93" s="456" t="s">
        <v>116</v>
      </c>
      <c r="CEU93" s="456" t="s">
        <v>116</v>
      </c>
      <c r="CEV93" s="456" t="s">
        <v>116</v>
      </c>
      <c r="CEW93" s="456" t="s">
        <v>116</v>
      </c>
      <c r="CEX93" s="456" t="s">
        <v>116</v>
      </c>
      <c r="CEY93" s="456" t="s">
        <v>116</v>
      </c>
      <c r="CEZ93" s="456" t="s">
        <v>116</v>
      </c>
      <c r="CFA93" s="456" t="s">
        <v>116</v>
      </c>
      <c r="CFB93" s="456" t="s">
        <v>116</v>
      </c>
      <c r="CFC93" s="456" t="s">
        <v>116</v>
      </c>
      <c r="CFD93" s="456" t="s">
        <v>116</v>
      </c>
      <c r="CFE93" s="456" t="s">
        <v>116</v>
      </c>
      <c r="CFF93" s="456" t="s">
        <v>116</v>
      </c>
      <c r="CFG93" s="456" t="s">
        <v>116</v>
      </c>
      <c r="CFH93" s="456" t="s">
        <v>116</v>
      </c>
      <c r="CFI93" s="456" t="s">
        <v>116</v>
      </c>
      <c r="CFJ93" s="456" t="s">
        <v>116</v>
      </c>
      <c r="CFK93" s="456" t="s">
        <v>116</v>
      </c>
      <c r="CFL93" s="456" t="s">
        <v>116</v>
      </c>
      <c r="CFM93" s="456" t="s">
        <v>116</v>
      </c>
      <c r="CFN93" s="456" t="s">
        <v>116</v>
      </c>
      <c r="CFO93" s="456" t="s">
        <v>116</v>
      </c>
      <c r="CFP93" s="456" t="s">
        <v>116</v>
      </c>
      <c r="CFQ93" s="456" t="s">
        <v>116</v>
      </c>
      <c r="CFR93" s="456" t="s">
        <v>116</v>
      </c>
      <c r="CFS93" s="456" t="s">
        <v>116</v>
      </c>
      <c r="CFT93" s="456" t="s">
        <v>116</v>
      </c>
      <c r="CFU93" s="456" t="s">
        <v>116</v>
      </c>
      <c r="CFV93" s="456" t="s">
        <v>116</v>
      </c>
      <c r="CFW93" s="456" t="s">
        <v>116</v>
      </c>
      <c r="CFX93" s="456" t="s">
        <v>116</v>
      </c>
      <c r="CFY93" s="456" t="s">
        <v>116</v>
      </c>
      <c r="CFZ93" s="456" t="s">
        <v>116</v>
      </c>
      <c r="CGA93" s="456" t="s">
        <v>116</v>
      </c>
      <c r="CGB93" s="456" t="s">
        <v>116</v>
      </c>
      <c r="CGC93" s="456" t="s">
        <v>116</v>
      </c>
      <c r="CGD93" s="456" t="s">
        <v>116</v>
      </c>
      <c r="CGE93" s="456" t="s">
        <v>116</v>
      </c>
      <c r="CGF93" s="456" t="s">
        <v>116</v>
      </c>
      <c r="CGG93" s="456" t="s">
        <v>116</v>
      </c>
      <c r="CGH93" s="456" t="s">
        <v>116</v>
      </c>
      <c r="CGI93" s="456" t="s">
        <v>116</v>
      </c>
      <c r="CGJ93" s="456" t="s">
        <v>116</v>
      </c>
      <c r="CGK93" s="456" t="s">
        <v>116</v>
      </c>
      <c r="CGL93" s="456" t="s">
        <v>116</v>
      </c>
      <c r="CGM93" s="456" t="s">
        <v>116</v>
      </c>
      <c r="CGN93" s="456" t="s">
        <v>116</v>
      </c>
      <c r="CGO93" s="456" t="s">
        <v>116</v>
      </c>
      <c r="CGP93" s="456" t="s">
        <v>116</v>
      </c>
      <c r="CGQ93" s="456" t="s">
        <v>116</v>
      </c>
      <c r="CGR93" s="456" t="s">
        <v>116</v>
      </c>
      <c r="CGS93" s="456" t="s">
        <v>116</v>
      </c>
      <c r="CGT93" s="456" t="s">
        <v>116</v>
      </c>
      <c r="CGU93" s="456" t="s">
        <v>116</v>
      </c>
      <c r="CGV93" s="456" t="s">
        <v>116</v>
      </c>
      <c r="CGW93" s="456" t="s">
        <v>116</v>
      </c>
      <c r="CGX93" s="456" t="s">
        <v>116</v>
      </c>
      <c r="CGY93" s="456" t="s">
        <v>116</v>
      </c>
      <c r="CGZ93" s="456" t="s">
        <v>116</v>
      </c>
      <c r="CHA93" s="456" t="s">
        <v>116</v>
      </c>
      <c r="CHB93" s="456" t="s">
        <v>116</v>
      </c>
      <c r="CHC93" s="456" t="s">
        <v>116</v>
      </c>
      <c r="CHD93" s="456" t="s">
        <v>116</v>
      </c>
      <c r="CHE93" s="456" t="s">
        <v>116</v>
      </c>
      <c r="CHF93" s="456" t="s">
        <v>116</v>
      </c>
      <c r="CHG93" s="456" t="s">
        <v>116</v>
      </c>
      <c r="CHH93" s="456" t="s">
        <v>116</v>
      </c>
      <c r="CHI93" s="456" t="s">
        <v>116</v>
      </c>
      <c r="CHJ93" s="456" t="s">
        <v>116</v>
      </c>
      <c r="CHK93" s="456" t="s">
        <v>116</v>
      </c>
      <c r="CHL93" s="456" t="s">
        <v>116</v>
      </c>
      <c r="CHM93" s="456" t="s">
        <v>116</v>
      </c>
      <c r="CHN93" s="456" t="s">
        <v>116</v>
      </c>
      <c r="CHO93" s="456" t="s">
        <v>116</v>
      </c>
      <c r="CHP93" s="456" t="s">
        <v>116</v>
      </c>
      <c r="CHQ93" s="456" t="s">
        <v>116</v>
      </c>
      <c r="CHR93" s="456" t="s">
        <v>116</v>
      </c>
      <c r="CHS93" s="456" t="s">
        <v>116</v>
      </c>
      <c r="CHT93" s="456" t="s">
        <v>116</v>
      </c>
      <c r="CHU93" s="456" t="s">
        <v>116</v>
      </c>
      <c r="CHV93" s="456" t="s">
        <v>116</v>
      </c>
      <c r="CHW93" s="456" t="s">
        <v>116</v>
      </c>
      <c r="CHX93" s="456" t="s">
        <v>116</v>
      </c>
      <c r="CHY93" s="456" t="s">
        <v>116</v>
      </c>
      <c r="CHZ93" s="456" t="s">
        <v>116</v>
      </c>
      <c r="CIA93" s="456" t="s">
        <v>116</v>
      </c>
      <c r="CIB93" s="456" t="s">
        <v>116</v>
      </c>
      <c r="CIC93" s="456" t="s">
        <v>116</v>
      </c>
      <c r="CID93" s="456" t="s">
        <v>116</v>
      </c>
      <c r="CIE93" s="456" t="s">
        <v>116</v>
      </c>
      <c r="CIF93" s="456" t="s">
        <v>116</v>
      </c>
      <c r="CIG93" s="456" t="s">
        <v>116</v>
      </c>
      <c r="CIH93" s="456" t="s">
        <v>116</v>
      </c>
      <c r="CII93" s="456" t="s">
        <v>116</v>
      </c>
      <c r="CIJ93" s="456" t="s">
        <v>116</v>
      </c>
      <c r="CIK93" s="456" t="s">
        <v>116</v>
      </c>
      <c r="CIL93" s="456" t="s">
        <v>116</v>
      </c>
      <c r="CIM93" s="456" t="s">
        <v>116</v>
      </c>
      <c r="CIN93" s="456" t="s">
        <v>116</v>
      </c>
      <c r="CIO93" s="456" t="s">
        <v>116</v>
      </c>
      <c r="CIP93" s="456" t="s">
        <v>116</v>
      </c>
      <c r="CIQ93" s="456" t="s">
        <v>116</v>
      </c>
      <c r="CIR93" s="456" t="s">
        <v>116</v>
      </c>
      <c r="CIS93" s="456" t="s">
        <v>116</v>
      </c>
      <c r="CIT93" s="456" t="s">
        <v>116</v>
      </c>
      <c r="CIU93" s="456" t="s">
        <v>116</v>
      </c>
      <c r="CIV93" s="456" t="s">
        <v>116</v>
      </c>
      <c r="CIW93" s="456" t="s">
        <v>116</v>
      </c>
      <c r="CIX93" s="456" t="s">
        <v>116</v>
      </c>
      <c r="CIY93" s="456" t="s">
        <v>116</v>
      </c>
      <c r="CIZ93" s="456" t="s">
        <v>116</v>
      </c>
      <c r="CJA93" s="456" t="s">
        <v>116</v>
      </c>
      <c r="CJB93" s="456" t="s">
        <v>116</v>
      </c>
      <c r="CJC93" s="456" t="s">
        <v>116</v>
      </c>
      <c r="CJD93" s="456" t="s">
        <v>116</v>
      </c>
      <c r="CJE93" s="456" t="s">
        <v>116</v>
      </c>
      <c r="CJF93" s="456" t="s">
        <v>116</v>
      </c>
      <c r="CJG93" s="456" t="s">
        <v>116</v>
      </c>
      <c r="CJH93" s="456" t="s">
        <v>116</v>
      </c>
      <c r="CJI93" s="456" t="s">
        <v>116</v>
      </c>
      <c r="CJJ93" s="456" t="s">
        <v>116</v>
      </c>
      <c r="CJK93" s="456" t="s">
        <v>116</v>
      </c>
      <c r="CJL93" s="456" t="s">
        <v>116</v>
      </c>
      <c r="CJM93" s="456" t="s">
        <v>116</v>
      </c>
      <c r="CJN93" s="456" t="s">
        <v>116</v>
      </c>
      <c r="CJO93" s="456" t="s">
        <v>116</v>
      </c>
      <c r="CJP93" s="456" t="s">
        <v>116</v>
      </c>
      <c r="CJQ93" s="456" t="s">
        <v>116</v>
      </c>
      <c r="CJR93" s="456" t="s">
        <v>116</v>
      </c>
      <c r="CJS93" s="456" t="s">
        <v>116</v>
      </c>
      <c r="CJT93" s="456" t="s">
        <v>116</v>
      </c>
      <c r="CJU93" s="456" t="s">
        <v>116</v>
      </c>
      <c r="CJV93" s="456" t="s">
        <v>116</v>
      </c>
      <c r="CJW93" s="456" t="s">
        <v>116</v>
      </c>
      <c r="CJX93" s="456" t="s">
        <v>116</v>
      </c>
      <c r="CJY93" s="456" t="s">
        <v>116</v>
      </c>
      <c r="CJZ93" s="456" t="s">
        <v>116</v>
      </c>
      <c r="CKA93" s="456" t="s">
        <v>116</v>
      </c>
      <c r="CKB93" s="456" t="s">
        <v>116</v>
      </c>
      <c r="CKC93" s="456" t="s">
        <v>116</v>
      </c>
      <c r="CKD93" s="456" t="s">
        <v>116</v>
      </c>
      <c r="CKE93" s="456" t="s">
        <v>116</v>
      </c>
      <c r="CKF93" s="456" t="s">
        <v>116</v>
      </c>
      <c r="CKG93" s="456" t="s">
        <v>116</v>
      </c>
      <c r="CKH93" s="456" t="s">
        <v>116</v>
      </c>
      <c r="CKI93" s="456" t="s">
        <v>116</v>
      </c>
      <c r="CKJ93" s="456" t="s">
        <v>116</v>
      </c>
      <c r="CKK93" s="456" t="s">
        <v>116</v>
      </c>
      <c r="CKL93" s="456" t="s">
        <v>116</v>
      </c>
      <c r="CKM93" s="456" t="s">
        <v>116</v>
      </c>
      <c r="CKN93" s="456" t="s">
        <v>116</v>
      </c>
      <c r="CKO93" s="456" t="s">
        <v>116</v>
      </c>
      <c r="CKP93" s="456" t="s">
        <v>116</v>
      </c>
      <c r="CKQ93" s="456" t="s">
        <v>116</v>
      </c>
      <c r="CKR93" s="456" t="s">
        <v>116</v>
      </c>
      <c r="CKS93" s="456" t="s">
        <v>116</v>
      </c>
      <c r="CKT93" s="456" t="s">
        <v>116</v>
      </c>
      <c r="CKU93" s="456" t="s">
        <v>116</v>
      </c>
      <c r="CKV93" s="456" t="s">
        <v>116</v>
      </c>
      <c r="CKW93" s="456" t="s">
        <v>116</v>
      </c>
      <c r="CKX93" s="456" t="s">
        <v>116</v>
      </c>
      <c r="CKY93" s="456" t="s">
        <v>116</v>
      </c>
      <c r="CKZ93" s="456" t="s">
        <v>116</v>
      </c>
      <c r="CLA93" s="456" t="s">
        <v>116</v>
      </c>
      <c r="CLB93" s="456" t="s">
        <v>116</v>
      </c>
      <c r="CLC93" s="456" t="s">
        <v>116</v>
      </c>
      <c r="CLD93" s="456" t="s">
        <v>116</v>
      </c>
      <c r="CLE93" s="456" t="s">
        <v>116</v>
      </c>
      <c r="CLF93" s="456" t="s">
        <v>116</v>
      </c>
      <c r="CLG93" s="456" t="s">
        <v>116</v>
      </c>
      <c r="CLH93" s="456" t="s">
        <v>116</v>
      </c>
      <c r="CLI93" s="456" t="s">
        <v>116</v>
      </c>
      <c r="CLJ93" s="456" t="s">
        <v>116</v>
      </c>
      <c r="CLK93" s="456" t="s">
        <v>116</v>
      </c>
      <c r="CLL93" s="456" t="s">
        <v>116</v>
      </c>
      <c r="CLM93" s="456" t="s">
        <v>116</v>
      </c>
      <c r="CLN93" s="456" t="s">
        <v>116</v>
      </c>
      <c r="CLO93" s="456" t="s">
        <v>116</v>
      </c>
      <c r="CLP93" s="456" t="s">
        <v>116</v>
      </c>
      <c r="CLQ93" s="456" t="s">
        <v>116</v>
      </c>
      <c r="CLR93" s="456" t="s">
        <v>116</v>
      </c>
      <c r="CLS93" s="456" t="s">
        <v>116</v>
      </c>
      <c r="CLT93" s="456" t="s">
        <v>116</v>
      </c>
      <c r="CLU93" s="456" t="s">
        <v>116</v>
      </c>
      <c r="CLV93" s="456" t="s">
        <v>116</v>
      </c>
      <c r="CLW93" s="456" t="s">
        <v>116</v>
      </c>
      <c r="CLX93" s="456" t="s">
        <v>116</v>
      </c>
      <c r="CLY93" s="456" t="s">
        <v>116</v>
      </c>
      <c r="CLZ93" s="456" t="s">
        <v>116</v>
      </c>
      <c r="CMA93" s="456" t="s">
        <v>116</v>
      </c>
      <c r="CMB93" s="456" t="s">
        <v>116</v>
      </c>
      <c r="CMC93" s="456" t="s">
        <v>116</v>
      </c>
      <c r="CMD93" s="456" t="s">
        <v>116</v>
      </c>
      <c r="CME93" s="456" t="s">
        <v>116</v>
      </c>
      <c r="CMF93" s="456" t="s">
        <v>116</v>
      </c>
      <c r="CMG93" s="456" t="s">
        <v>116</v>
      </c>
      <c r="CMH93" s="456" t="s">
        <v>116</v>
      </c>
      <c r="CMI93" s="456" t="s">
        <v>116</v>
      </c>
      <c r="CMJ93" s="456" t="s">
        <v>116</v>
      </c>
      <c r="CMK93" s="456" t="s">
        <v>116</v>
      </c>
      <c r="CML93" s="456" t="s">
        <v>116</v>
      </c>
      <c r="CMM93" s="456" t="s">
        <v>116</v>
      </c>
      <c r="CMN93" s="456" t="s">
        <v>116</v>
      </c>
      <c r="CMO93" s="456" t="s">
        <v>116</v>
      </c>
      <c r="CMP93" s="456" t="s">
        <v>116</v>
      </c>
      <c r="CMQ93" s="456" t="s">
        <v>116</v>
      </c>
      <c r="CMR93" s="456" t="s">
        <v>116</v>
      </c>
      <c r="CMS93" s="456" t="s">
        <v>116</v>
      </c>
      <c r="CMT93" s="456" t="s">
        <v>116</v>
      </c>
      <c r="CMU93" s="456" t="s">
        <v>116</v>
      </c>
      <c r="CMV93" s="456" t="s">
        <v>116</v>
      </c>
      <c r="CMW93" s="456" t="s">
        <v>116</v>
      </c>
      <c r="CMX93" s="456" t="s">
        <v>116</v>
      </c>
      <c r="CMY93" s="456" t="s">
        <v>116</v>
      </c>
      <c r="CMZ93" s="456" t="s">
        <v>116</v>
      </c>
      <c r="CNA93" s="456" t="s">
        <v>116</v>
      </c>
      <c r="CNB93" s="456" t="s">
        <v>116</v>
      </c>
      <c r="CNC93" s="456" t="s">
        <v>116</v>
      </c>
      <c r="CND93" s="456" t="s">
        <v>116</v>
      </c>
      <c r="CNE93" s="456" t="s">
        <v>116</v>
      </c>
      <c r="CNF93" s="456" t="s">
        <v>116</v>
      </c>
      <c r="CNG93" s="456" t="s">
        <v>116</v>
      </c>
      <c r="CNH93" s="456" t="s">
        <v>116</v>
      </c>
      <c r="CNI93" s="456" t="s">
        <v>116</v>
      </c>
      <c r="CNJ93" s="456" t="s">
        <v>116</v>
      </c>
      <c r="CNK93" s="456" t="s">
        <v>116</v>
      </c>
      <c r="CNL93" s="456" t="s">
        <v>116</v>
      </c>
      <c r="CNM93" s="456" t="s">
        <v>116</v>
      </c>
      <c r="CNN93" s="456" t="s">
        <v>116</v>
      </c>
      <c r="CNO93" s="456" t="s">
        <v>116</v>
      </c>
      <c r="CNP93" s="456" t="s">
        <v>116</v>
      </c>
      <c r="CNQ93" s="456" t="s">
        <v>116</v>
      </c>
      <c r="CNR93" s="456" t="s">
        <v>116</v>
      </c>
      <c r="CNS93" s="456" t="s">
        <v>116</v>
      </c>
      <c r="CNT93" s="456" t="s">
        <v>116</v>
      </c>
      <c r="CNU93" s="456" t="s">
        <v>116</v>
      </c>
      <c r="CNV93" s="456" t="s">
        <v>116</v>
      </c>
      <c r="CNW93" s="456" t="s">
        <v>116</v>
      </c>
      <c r="CNX93" s="456" t="s">
        <v>116</v>
      </c>
      <c r="CNY93" s="456" t="s">
        <v>116</v>
      </c>
      <c r="CNZ93" s="456" t="s">
        <v>116</v>
      </c>
      <c r="COA93" s="456" t="s">
        <v>116</v>
      </c>
      <c r="COB93" s="456" t="s">
        <v>116</v>
      </c>
      <c r="COC93" s="456" t="s">
        <v>116</v>
      </c>
      <c r="COD93" s="456" t="s">
        <v>116</v>
      </c>
      <c r="COE93" s="456" t="s">
        <v>116</v>
      </c>
      <c r="COF93" s="456" t="s">
        <v>116</v>
      </c>
      <c r="COG93" s="456" t="s">
        <v>116</v>
      </c>
      <c r="COH93" s="456" t="s">
        <v>116</v>
      </c>
      <c r="COI93" s="456" t="s">
        <v>116</v>
      </c>
      <c r="COJ93" s="456" t="s">
        <v>116</v>
      </c>
      <c r="COK93" s="456" t="s">
        <v>116</v>
      </c>
      <c r="COL93" s="456" t="s">
        <v>116</v>
      </c>
      <c r="COM93" s="456" t="s">
        <v>116</v>
      </c>
      <c r="CON93" s="456" t="s">
        <v>116</v>
      </c>
      <c r="COO93" s="456" t="s">
        <v>116</v>
      </c>
      <c r="COP93" s="456" t="s">
        <v>116</v>
      </c>
      <c r="COQ93" s="456" t="s">
        <v>116</v>
      </c>
      <c r="COR93" s="456" t="s">
        <v>116</v>
      </c>
      <c r="COS93" s="456" t="s">
        <v>116</v>
      </c>
      <c r="COT93" s="456" t="s">
        <v>116</v>
      </c>
      <c r="COU93" s="456" t="s">
        <v>116</v>
      </c>
      <c r="COV93" s="456" t="s">
        <v>116</v>
      </c>
      <c r="COW93" s="456" t="s">
        <v>116</v>
      </c>
      <c r="COX93" s="456" t="s">
        <v>116</v>
      </c>
      <c r="COY93" s="456" t="s">
        <v>116</v>
      </c>
      <c r="COZ93" s="456" t="s">
        <v>116</v>
      </c>
      <c r="CPA93" s="456" t="s">
        <v>116</v>
      </c>
      <c r="CPB93" s="456" t="s">
        <v>116</v>
      </c>
      <c r="CPC93" s="456" t="s">
        <v>116</v>
      </c>
      <c r="CPD93" s="456" t="s">
        <v>116</v>
      </c>
      <c r="CPE93" s="456" t="s">
        <v>116</v>
      </c>
      <c r="CPF93" s="456" t="s">
        <v>116</v>
      </c>
      <c r="CPG93" s="456" t="s">
        <v>116</v>
      </c>
      <c r="CPH93" s="456" t="s">
        <v>116</v>
      </c>
      <c r="CPI93" s="456" t="s">
        <v>116</v>
      </c>
      <c r="CPJ93" s="456" t="s">
        <v>116</v>
      </c>
      <c r="CPK93" s="456" t="s">
        <v>116</v>
      </c>
      <c r="CPL93" s="456" t="s">
        <v>116</v>
      </c>
      <c r="CPM93" s="456" t="s">
        <v>116</v>
      </c>
      <c r="CPN93" s="456" t="s">
        <v>116</v>
      </c>
      <c r="CPO93" s="456" t="s">
        <v>116</v>
      </c>
      <c r="CPP93" s="456" t="s">
        <v>116</v>
      </c>
      <c r="CPQ93" s="456" t="s">
        <v>116</v>
      </c>
      <c r="CPR93" s="456" t="s">
        <v>116</v>
      </c>
      <c r="CPS93" s="456" t="s">
        <v>116</v>
      </c>
      <c r="CPT93" s="456" t="s">
        <v>116</v>
      </c>
      <c r="CPU93" s="456" t="s">
        <v>116</v>
      </c>
      <c r="CPV93" s="456" t="s">
        <v>116</v>
      </c>
      <c r="CPW93" s="456" t="s">
        <v>116</v>
      </c>
      <c r="CPX93" s="456" t="s">
        <v>116</v>
      </c>
      <c r="CPY93" s="456" t="s">
        <v>116</v>
      </c>
      <c r="CPZ93" s="456" t="s">
        <v>116</v>
      </c>
      <c r="CQA93" s="456" t="s">
        <v>116</v>
      </c>
      <c r="CQB93" s="456" t="s">
        <v>116</v>
      </c>
      <c r="CQC93" s="456" t="s">
        <v>116</v>
      </c>
      <c r="CQD93" s="456" t="s">
        <v>116</v>
      </c>
      <c r="CQE93" s="456" t="s">
        <v>116</v>
      </c>
      <c r="CQF93" s="456" t="s">
        <v>116</v>
      </c>
      <c r="CQG93" s="456" t="s">
        <v>116</v>
      </c>
      <c r="CQH93" s="456" t="s">
        <v>116</v>
      </c>
      <c r="CQI93" s="456" t="s">
        <v>116</v>
      </c>
      <c r="CQJ93" s="456" t="s">
        <v>116</v>
      </c>
      <c r="CQK93" s="456" t="s">
        <v>116</v>
      </c>
      <c r="CQL93" s="456" t="s">
        <v>116</v>
      </c>
      <c r="CQM93" s="456" t="s">
        <v>116</v>
      </c>
      <c r="CQN93" s="456" t="s">
        <v>116</v>
      </c>
      <c r="CQO93" s="456" t="s">
        <v>116</v>
      </c>
      <c r="CQP93" s="456" t="s">
        <v>116</v>
      </c>
      <c r="CQQ93" s="456" t="s">
        <v>116</v>
      </c>
      <c r="CQR93" s="456" t="s">
        <v>116</v>
      </c>
      <c r="CQS93" s="456" t="s">
        <v>116</v>
      </c>
      <c r="CQT93" s="456" t="s">
        <v>116</v>
      </c>
      <c r="CQU93" s="456" t="s">
        <v>116</v>
      </c>
      <c r="CQV93" s="456" t="s">
        <v>116</v>
      </c>
      <c r="CQW93" s="456" t="s">
        <v>116</v>
      </c>
      <c r="CQX93" s="456" t="s">
        <v>116</v>
      </c>
      <c r="CQY93" s="456" t="s">
        <v>116</v>
      </c>
      <c r="CQZ93" s="456" t="s">
        <v>116</v>
      </c>
      <c r="CRA93" s="456" t="s">
        <v>116</v>
      </c>
      <c r="CRB93" s="456" t="s">
        <v>116</v>
      </c>
      <c r="CRC93" s="456" t="s">
        <v>116</v>
      </c>
      <c r="CRD93" s="456" t="s">
        <v>116</v>
      </c>
      <c r="CRE93" s="456" t="s">
        <v>116</v>
      </c>
      <c r="CRF93" s="456" t="s">
        <v>116</v>
      </c>
      <c r="CRG93" s="456" t="s">
        <v>116</v>
      </c>
      <c r="CRH93" s="456" t="s">
        <v>116</v>
      </c>
      <c r="CRI93" s="456" t="s">
        <v>116</v>
      </c>
      <c r="CRJ93" s="456" t="s">
        <v>116</v>
      </c>
      <c r="CRK93" s="456" t="s">
        <v>116</v>
      </c>
      <c r="CRL93" s="456" t="s">
        <v>116</v>
      </c>
      <c r="CRM93" s="456" t="s">
        <v>116</v>
      </c>
      <c r="CRN93" s="456" t="s">
        <v>116</v>
      </c>
      <c r="CRO93" s="456" t="s">
        <v>116</v>
      </c>
      <c r="CRP93" s="456" t="s">
        <v>116</v>
      </c>
      <c r="CRQ93" s="456" t="s">
        <v>116</v>
      </c>
      <c r="CRR93" s="456" t="s">
        <v>116</v>
      </c>
      <c r="CRS93" s="456" t="s">
        <v>116</v>
      </c>
      <c r="CRT93" s="456" t="s">
        <v>116</v>
      </c>
      <c r="CRU93" s="456" t="s">
        <v>116</v>
      </c>
      <c r="CRV93" s="456" t="s">
        <v>116</v>
      </c>
      <c r="CRW93" s="456" t="s">
        <v>116</v>
      </c>
      <c r="CRX93" s="456" t="s">
        <v>116</v>
      </c>
      <c r="CRY93" s="456" t="s">
        <v>116</v>
      </c>
      <c r="CRZ93" s="456" t="s">
        <v>116</v>
      </c>
      <c r="CSA93" s="456" t="s">
        <v>116</v>
      </c>
      <c r="CSB93" s="456" t="s">
        <v>116</v>
      </c>
      <c r="CSC93" s="456" t="s">
        <v>116</v>
      </c>
      <c r="CSD93" s="456" t="s">
        <v>116</v>
      </c>
      <c r="CSE93" s="456" t="s">
        <v>116</v>
      </c>
      <c r="CSF93" s="456" t="s">
        <v>116</v>
      </c>
      <c r="CSG93" s="456" t="s">
        <v>116</v>
      </c>
      <c r="CSH93" s="456" t="s">
        <v>116</v>
      </c>
      <c r="CSI93" s="456" t="s">
        <v>116</v>
      </c>
      <c r="CSJ93" s="456" t="s">
        <v>116</v>
      </c>
      <c r="CSK93" s="456" t="s">
        <v>116</v>
      </c>
      <c r="CSL93" s="456" t="s">
        <v>116</v>
      </c>
      <c r="CSM93" s="456" t="s">
        <v>116</v>
      </c>
      <c r="CSN93" s="456" t="s">
        <v>116</v>
      </c>
      <c r="CSO93" s="456" t="s">
        <v>116</v>
      </c>
      <c r="CSP93" s="456" t="s">
        <v>116</v>
      </c>
      <c r="CSQ93" s="456" t="s">
        <v>116</v>
      </c>
      <c r="CSR93" s="456" t="s">
        <v>116</v>
      </c>
      <c r="CSS93" s="456" t="s">
        <v>116</v>
      </c>
      <c r="CST93" s="456" t="s">
        <v>116</v>
      </c>
      <c r="CSU93" s="456" t="s">
        <v>116</v>
      </c>
      <c r="CSV93" s="456" t="s">
        <v>116</v>
      </c>
      <c r="CSW93" s="456" t="s">
        <v>116</v>
      </c>
      <c r="CSX93" s="456" t="s">
        <v>116</v>
      </c>
      <c r="CSY93" s="456" t="s">
        <v>116</v>
      </c>
      <c r="CSZ93" s="456" t="s">
        <v>116</v>
      </c>
      <c r="CTA93" s="456" t="s">
        <v>116</v>
      </c>
      <c r="CTB93" s="456" t="s">
        <v>116</v>
      </c>
      <c r="CTC93" s="456" t="s">
        <v>116</v>
      </c>
      <c r="CTD93" s="456" t="s">
        <v>116</v>
      </c>
      <c r="CTE93" s="456" t="s">
        <v>116</v>
      </c>
      <c r="CTF93" s="456" t="s">
        <v>116</v>
      </c>
      <c r="CTG93" s="456" t="s">
        <v>116</v>
      </c>
      <c r="CTH93" s="456" t="s">
        <v>116</v>
      </c>
      <c r="CTI93" s="456" t="s">
        <v>116</v>
      </c>
      <c r="CTJ93" s="456" t="s">
        <v>116</v>
      </c>
      <c r="CTK93" s="456" t="s">
        <v>116</v>
      </c>
      <c r="CTL93" s="456" t="s">
        <v>116</v>
      </c>
      <c r="CTM93" s="456" t="s">
        <v>116</v>
      </c>
      <c r="CTN93" s="456" t="s">
        <v>116</v>
      </c>
      <c r="CTO93" s="456" t="s">
        <v>116</v>
      </c>
      <c r="CTP93" s="456" t="s">
        <v>116</v>
      </c>
      <c r="CTQ93" s="456" t="s">
        <v>116</v>
      </c>
      <c r="CTR93" s="456" t="s">
        <v>116</v>
      </c>
      <c r="CTS93" s="456" t="s">
        <v>116</v>
      </c>
      <c r="CTT93" s="456" t="s">
        <v>116</v>
      </c>
      <c r="CTU93" s="456" t="s">
        <v>116</v>
      </c>
      <c r="CTV93" s="456" t="s">
        <v>116</v>
      </c>
      <c r="CTW93" s="456" t="s">
        <v>116</v>
      </c>
      <c r="CTX93" s="456" t="s">
        <v>116</v>
      </c>
      <c r="CTY93" s="456" t="s">
        <v>116</v>
      </c>
      <c r="CTZ93" s="456" t="s">
        <v>116</v>
      </c>
      <c r="CUA93" s="456" t="s">
        <v>116</v>
      </c>
      <c r="CUB93" s="456" t="s">
        <v>116</v>
      </c>
      <c r="CUC93" s="456" t="s">
        <v>116</v>
      </c>
      <c r="CUD93" s="456" t="s">
        <v>116</v>
      </c>
      <c r="CUE93" s="456" t="s">
        <v>116</v>
      </c>
      <c r="CUF93" s="456" t="s">
        <v>116</v>
      </c>
      <c r="CUG93" s="456" t="s">
        <v>116</v>
      </c>
      <c r="CUH93" s="456" t="s">
        <v>116</v>
      </c>
      <c r="CUI93" s="456" t="s">
        <v>116</v>
      </c>
      <c r="CUJ93" s="456" t="s">
        <v>116</v>
      </c>
      <c r="CUK93" s="456" t="s">
        <v>116</v>
      </c>
      <c r="CUL93" s="456" t="s">
        <v>116</v>
      </c>
      <c r="CUM93" s="456" t="s">
        <v>116</v>
      </c>
      <c r="CUN93" s="456" t="s">
        <v>116</v>
      </c>
      <c r="CUO93" s="456" t="s">
        <v>116</v>
      </c>
      <c r="CUP93" s="456" t="s">
        <v>116</v>
      </c>
      <c r="CUQ93" s="456" t="s">
        <v>116</v>
      </c>
      <c r="CUR93" s="456" t="s">
        <v>116</v>
      </c>
      <c r="CUS93" s="456" t="s">
        <v>116</v>
      </c>
      <c r="CUT93" s="456" t="s">
        <v>116</v>
      </c>
      <c r="CUU93" s="456" t="s">
        <v>116</v>
      </c>
      <c r="CUV93" s="456" t="s">
        <v>116</v>
      </c>
      <c r="CUW93" s="456" t="s">
        <v>116</v>
      </c>
      <c r="CUX93" s="456" t="s">
        <v>116</v>
      </c>
      <c r="CUY93" s="456" t="s">
        <v>116</v>
      </c>
      <c r="CUZ93" s="456" t="s">
        <v>116</v>
      </c>
      <c r="CVA93" s="456" t="s">
        <v>116</v>
      </c>
      <c r="CVB93" s="456" t="s">
        <v>116</v>
      </c>
      <c r="CVC93" s="456" t="s">
        <v>116</v>
      </c>
      <c r="CVD93" s="456" t="s">
        <v>116</v>
      </c>
      <c r="CVE93" s="456" t="s">
        <v>116</v>
      </c>
      <c r="CVF93" s="456" t="s">
        <v>116</v>
      </c>
      <c r="CVG93" s="456" t="s">
        <v>116</v>
      </c>
      <c r="CVH93" s="456" t="s">
        <v>116</v>
      </c>
      <c r="CVI93" s="456" t="s">
        <v>116</v>
      </c>
      <c r="CVJ93" s="456" t="s">
        <v>116</v>
      </c>
      <c r="CVK93" s="456" t="s">
        <v>116</v>
      </c>
      <c r="CVL93" s="456" t="s">
        <v>116</v>
      </c>
      <c r="CVM93" s="456" t="s">
        <v>116</v>
      </c>
      <c r="CVN93" s="456" t="s">
        <v>116</v>
      </c>
      <c r="CVO93" s="456" t="s">
        <v>116</v>
      </c>
      <c r="CVP93" s="456" t="s">
        <v>116</v>
      </c>
      <c r="CVQ93" s="456" t="s">
        <v>116</v>
      </c>
      <c r="CVR93" s="456" t="s">
        <v>116</v>
      </c>
      <c r="CVS93" s="456" t="s">
        <v>116</v>
      </c>
      <c r="CVT93" s="456" t="s">
        <v>116</v>
      </c>
      <c r="CVU93" s="456" t="s">
        <v>116</v>
      </c>
      <c r="CVV93" s="456" t="s">
        <v>116</v>
      </c>
      <c r="CVW93" s="456" t="s">
        <v>116</v>
      </c>
      <c r="CVX93" s="456" t="s">
        <v>116</v>
      </c>
      <c r="CVY93" s="456" t="s">
        <v>116</v>
      </c>
      <c r="CVZ93" s="456" t="s">
        <v>116</v>
      </c>
      <c r="CWA93" s="456" t="s">
        <v>116</v>
      </c>
      <c r="CWB93" s="456" t="s">
        <v>116</v>
      </c>
      <c r="CWC93" s="456" t="s">
        <v>116</v>
      </c>
      <c r="CWD93" s="456" t="s">
        <v>116</v>
      </c>
      <c r="CWE93" s="456" t="s">
        <v>116</v>
      </c>
      <c r="CWF93" s="456" t="s">
        <v>116</v>
      </c>
      <c r="CWG93" s="456" t="s">
        <v>116</v>
      </c>
      <c r="CWH93" s="456" t="s">
        <v>116</v>
      </c>
      <c r="CWI93" s="456" t="s">
        <v>116</v>
      </c>
      <c r="CWJ93" s="456" t="s">
        <v>116</v>
      </c>
      <c r="CWK93" s="456" t="s">
        <v>116</v>
      </c>
      <c r="CWL93" s="456" t="s">
        <v>116</v>
      </c>
      <c r="CWM93" s="456" t="s">
        <v>116</v>
      </c>
      <c r="CWN93" s="456" t="s">
        <v>116</v>
      </c>
      <c r="CWO93" s="456" t="s">
        <v>116</v>
      </c>
      <c r="CWP93" s="456" t="s">
        <v>116</v>
      </c>
      <c r="CWQ93" s="456" t="s">
        <v>116</v>
      </c>
      <c r="CWR93" s="456" t="s">
        <v>116</v>
      </c>
      <c r="CWS93" s="456" t="s">
        <v>116</v>
      </c>
      <c r="CWT93" s="456" t="s">
        <v>116</v>
      </c>
      <c r="CWU93" s="456" t="s">
        <v>116</v>
      </c>
      <c r="CWV93" s="456" t="s">
        <v>116</v>
      </c>
      <c r="CWW93" s="456" t="s">
        <v>116</v>
      </c>
      <c r="CWX93" s="456" t="s">
        <v>116</v>
      </c>
      <c r="CWY93" s="456" t="s">
        <v>116</v>
      </c>
      <c r="CWZ93" s="456" t="s">
        <v>116</v>
      </c>
      <c r="CXA93" s="456" t="s">
        <v>116</v>
      </c>
      <c r="CXB93" s="456" t="s">
        <v>116</v>
      </c>
      <c r="CXC93" s="456" t="s">
        <v>116</v>
      </c>
      <c r="CXD93" s="456" t="s">
        <v>116</v>
      </c>
      <c r="CXE93" s="456" t="s">
        <v>116</v>
      </c>
      <c r="CXF93" s="456" t="s">
        <v>116</v>
      </c>
      <c r="CXG93" s="456" t="s">
        <v>116</v>
      </c>
      <c r="CXH93" s="456" t="s">
        <v>116</v>
      </c>
      <c r="CXI93" s="456" t="s">
        <v>116</v>
      </c>
      <c r="CXJ93" s="456" t="s">
        <v>116</v>
      </c>
      <c r="CXK93" s="456" t="s">
        <v>116</v>
      </c>
      <c r="CXL93" s="456" t="s">
        <v>116</v>
      </c>
      <c r="CXM93" s="456" t="s">
        <v>116</v>
      </c>
      <c r="CXN93" s="456" t="s">
        <v>116</v>
      </c>
      <c r="CXO93" s="456" t="s">
        <v>116</v>
      </c>
      <c r="CXP93" s="456" t="s">
        <v>116</v>
      </c>
      <c r="CXQ93" s="456" t="s">
        <v>116</v>
      </c>
      <c r="CXR93" s="456" t="s">
        <v>116</v>
      </c>
      <c r="CXS93" s="456" t="s">
        <v>116</v>
      </c>
      <c r="CXT93" s="456" t="s">
        <v>116</v>
      </c>
      <c r="CXU93" s="456" t="s">
        <v>116</v>
      </c>
      <c r="CXV93" s="456" t="s">
        <v>116</v>
      </c>
      <c r="CXW93" s="456" t="s">
        <v>116</v>
      </c>
      <c r="CXX93" s="456" t="s">
        <v>116</v>
      </c>
      <c r="CXY93" s="456" t="s">
        <v>116</v>
      </c>
      <c r="CXZ93" s="456" t="s">
        <v>116</v>
      </c>
      <c r="CYA93" s="456" t="s">
        <v>116</v>
      </c>
      <c r="CYB93" s="456" t="s">
        <v>116</v>
      </c>
      <c r="CYC93" s="456" t="s">
        <v>116</v>
      </c>
      <c r="CYD93" s="456" t="s">
        <v>116</v>
      </c>
      <c r="CYE93" s="456" t="s">
        <v>116</v>
      </c>
      <c r="CYF93" s="456" t="s">
        <v>116</v>
      </c>
      <c r="CYG93" s="456" t="s">
        <v>116</v>
      </c>
      <c r="CYH93" s="456" t="s">
        <v>116</v>
      </c>
      <c r="CYI93" s="456" t="s">
        <v>116</v>
      </c>
      <c r="CYJ93" s="456" t="s">
        <v>116</v>
      </c>
      <c r="CYK93" s="456" t="s">
        <v>116</v>
      </c>
      <c r="CYL93" s="456" t="s">
        <v>116</v>
      </c>
      <c r="CYM93" s="456" t="s">
        <v>116</v>
      </c>
      <c r="CYN93" s="456" t="s">
        <v>116</v>
      </c>
      <c r="CYO93" s="456" t="s">
        <v>116</v>
      </c>
      <c r="CYP93" s="456" t="s">
        <v>116</v>
      </c>
      <c r="CYQ93" s="456" t="s">
        <v>116</v>
      </c>
      <c r="CYR93" s="456" t="s">
        <v>116</v>
      </c>
      <c r="CYS93" s="456" t="s">
        <v>116</v>
      </c>
      <c r="CYT93" s="456" t="s">
        <v>116</v>
      </c>
      <c r="CYU93" s="456" t="s">
        <v>116</v>
      </c>
      <c r="CYV93" s="456" t="s">
        <v>116</v>
      </c>
      <c r="CYW93" s="456" t="s">
        <v>116</v>
      </c>
      <c r="CYX93" s="456" t="s">
        <v>116</v>
      </c>
      <c r="CYY93" s="456" t="s">
        <v>116</v>
      </c>
      <c r="CYZ93" s="456" t="s">
        <v>116</v>
      </c>
      <c r="CZA93" s="456" t="s">
        <v>116</v>
      </c>
      <c r="CZB93" s="456" t="s">
        <v>116</v>
      </c>
      <c r="CZC93" s="456" t="s">
        <v>116</v>
      </c>
      <c r="CZD93" s="456" t="s">
        <v>116</v>
      </c>
      <c r="CZE93" s="456" t="s">
        <v>116</v>
      </c>
      <c r="CZF93" s="456" t="s">
        <v>116</v>
      </c>
      <c r="CZG93" s="456" t="s">
        <v>116</v>
      </c>
      <c r="CZH93" s="456" t="s">
        <v>116</v>
      </c>
      <c r="CZI93" s="456" t="s">
        <v>116</v>
      </c>
      <c r="CZJ93" s="456" t="s">
        <v>116</v>
      </c>
      <c r="CZK93" s="456" t="s">
        <v>116</v>
      </c>
      <c r="CZL93" s="456" t="s">
        <v>116</v>
      </c>
      <c r="CZM93" s="456" t="s">
        <v>116</v>
      </c>
      <c r="CZN93" s="456" t="s">
        <v>116</v>
      </c>
      <c r="CZO93" s="456" t="s">
        <v>116</v>
      </c>
      <c r="CZP93" s="456" t="s">
        <v>116</v>
      </c>
      <c r="CZQ93" s="456" t="s">
        <v>116</v>
      </c>
      <c r="CZR93" s="456" t="s">
        <v>116</v>
      </c>
      <c r="CZS93" s="456" t="s">
        <v>116</v>
      </c>
      <c r="CZT93" s="456" t="s">
        <v>116</v>
      </c>
      <c r="CZU93" s="456" t="s">
        <v>116</v>
      </c>
      <c r="CZV93" s="456" t="s">
        <v>116</v>
      </c>
      <c r="CZW93" s="456" t="s">
        <v>116</v>
      </c>
      <c r="CZX93" s="456" t="s">
        <v>116</v>
      </c>
      <c r="CZY93" s="456" t="s">
        <v>116</v>
      </c>
      <c r="CZZ93" s="456" t="s">
        <v>116</v>
      </c>
      <c r="DAA93" s="456" t="s">
        <v>116</v>
      </c>
      <c r="DAB93" s="456" t="s">
        <v>116</v>
      </c>
      <c r="DAC93" s="456" t="s">
        <v>116</v>
      </c>
      <c r="DAD93" s="456" t="s">
        <v>116</v>
      </c>
      <c r="DAE93" s="456" t="s">
        <v>116</v>
      </c>
      <c r="DAF93" s="456" t="s">
        <v>116</v>
      </c>
      <c r="DAG93" s="456" t="s">
        <v>116</v>
      </c>
      <c r="DAH93" s="456" t="s">
        <v>116</v>
      </c>
      <c r="DAI93" s="456" t="s">
        <v>116</v>
      </c>
      <c r="DAJ93" s="456" t="s">
        <v>116</v>
      </c>
      <c r="DAK93" s="456" t="s">
        <v>116</v>
      </c>
      <c r="DAL93" s="456" t="s">
        <v>116</v>
      </c>
      <c r="DAM93" s="456" t="s">
        <v>116</v>
      </c>
      <c r="DAN93" s="456" t="s">
        <v>116</v>
      </c>
      <c r="DAO93" s="456" t="s">
        <v>116</v>
      </c>
      <c r="DAP93" s="456" t="s">
        <v>116</v>
      </c>
      <c r="DAQ93" s="456" t="s">
        <v>116</v>
      </c>
      <c r="DAR93" s="456" t="s">
        <v>116</v>
      </c>
      <c r="DAS93" s="456" t="s">
        <v>116</v>
      </c>
      <c r="DAT93" s="456" t="s">
        <v>116</v>
      </c>
      <c r="DAU93" s="456" t="s">
        <v>116</v>
      </c>
      <c r="DAV93" s="456" t="s">
        <v>116</v>
      </c>
      <c r="DAW93" s="456" t="s">
        <v>116</v>
      </c>
      <c r="DAX93" s="456" t="s">
        <v>116</v>
      </c>
      <c r="DAY93" s="456" t="s">
        <v>116</v>
      </c>
      <c r="DAZ93" s="456" t="s">
        <v>116</v>
      </c>
      <c r="DBA93" s="456" t="s">
        <v>116</v>
      </c>
      <c r="DBB93" s="456" t="s">
        <v>116</v>
      </c>
      <c r="DBC93" s="456" t="s">
        <v>116</v>
      </c>
      <c r="DBD93" s="456" t="s">
        <v>116</v>
      </c>
      <c r="DBE93" s="456" t="s">
        <v>116</v>
      </c>
      <c r="DBF93" s="456" t="s">
        <v>116</v>
      </c>
      <c r="DBG93" s="456" t="s">
        <v>116</v>
      </c>
      <c r="DBH93" s="456" t="s">
        <v>116</v>
      </c>
      <c r="DBI93" s="456" t="s">
        <v>116</v>
      </c>
      <c r="DBJ93" s="456" t="s">
        <v>116</v>
      </c>
      <c r="DBK93" s="456" t="s">
        <v>116</v>
      </c>
      <c r="DBL93" s="456" t="s">
        <v>116</v>
      </c>
      <c r="DBM93" s="456" t="s">
        <v>116</v>
      </c>
      <c r="DBN93" s="456" t="s">
        <v>116</v>
      </c>
      <c r="DBO93" s="456" t="s">
        <v>116</v>
      </c>
      <c r="DBP93" s="456" t="s">
        <v>116</v>
      </c>
      <c r="DBQ93" s="456" t="s">
        <v>116</v>
      </c>
      <c r="DBR93" s="456" t="s">
        <v>116</v>
      </c>
      <c r="DBS93" s="456" t="s">
        <v>116</v>
      </c>
      <c r="DBT93" s="456" t="s">
        <v>116</v>
      </c>
      <c r="DBU93" s="456" t="s">
        <v>116</v>
      </c>
      <c r="DBV93" s="456" t="s">
        <v>116</v>
      </c>
      <c r="DBW93" s="456" t="s">
        <v>116</v>
      </c>
      <c r="DBX93" s="456" t="s">
        <v>116</v>
      </c>
      <c r="DBY93" s="456" t="s">
        <v>116</v>
      </c>
      <c r="DBZ93" s="456" t="s">
        <v>116</v>
      </c>
      <c r="DCA93" s="456" t="s">
        <v>116</v>
      </c>
      <c r="DCB93" s="456" t="s">
        <v>116</v>
      </c>
      <c r="DCC93" s="456" t="s">
        <v>116</v>
      </c>
      <c r="DCD93" s="456" t="s">
        <v>116</v>
      </c>
      <c r="DCE93" s="456" t="s">
        <v>116</v>
      </c>
      <c r="DCF93" s="456" t="s">
        <v>116</v>
      </c>
      <c r="DCG93" s="456" t="s">
        <v>116</v>
      </c>
      <c r="DCH93" s="456" t="s">
        <v>116</v>
      </c>
      <c r="DCI93" s="456" t="s">
        <v>116</v>
      </c>
      <c r="DCJ93" s="456" t="s">
        <v>116</v>
      </c>
      <c r="DCK93" s="456" t="s">
        <v>116</v>
      </c>
      <c r="DCL93" s="456" t="s">
        <v>116</v>
      </c>
      <c r="DCM93" s="456" t="s">
        <v>116</v>
      </c>
      <c r="DCN93" s="456" t="s">
        <v>116</v>
      </c>
      <c r="DCO93" s="456" t="s">
        <v>116</v>
      </c>
      <c r="DCP93" s="456" t="s">
        <v>116</v>
      </c>
      <c r="DCQ93" s="456" t="s">
        <v>116</v>
      </c>
      <c r="DCR93" s="456" t="s">
        <v>116</v>
      </c>
      <c r="DCS93" s="456" t="s">
        <v>116</v>
      </c>
      <c r="DCT93" s="456" t="s">
        <v>116</v>
      </c>
      <c r="DCU93" s="456" t="s">
        <v>116</v>
      </c>
      <c r="DCV93" s="456" t="s">
        <v>116</v>
      </c>
      <c r="DCW93" s="456" t="s">
        <v>116</v>
      </c>
      <c r="DCX93" s="456" t="s">
        <v>116</v>
      </c>
      <c r="DCY93" s="456" t="s">
        <v>116</v>
      </c>
      <c r="DCZ93" s="456" t="s">
        <v>116</v>
      </c>
      <c r="DDA93" s="456" t="s">
        <v>116</v>
      </c>
      <c r="DDB93" s="456" t="s">
        <v>116</v>
      </c>
      <c r="DDC93" s="456" t="s">
        <v>116</v>
      </c>
      <c r="DDD93" s="456" t="s">
        <v>116</v>
      </c>
      <c r="DDE93" s="456" t="s">
        <v>116</v>
      </c>
      <c r="DDF93" s="456" t="s">
        <v>116</v>
      </c>
      <c r="DDG93" s="456" t="s">
        <v>116</v>
      </c>
      <c r="DDH93" s="456" t="s">
        <v>116</v>
      </c>
      <c r="DDI93" s="456" t="s">
        <v>116</v>
      </c>
      <c r="DDJ93" s="456" t="s">
        <v>116</v>
      </c>
      <c r="DDK93" s="456" t="s">
        <v>116</v>
      </c>
      <c r="DDL93" s="456" t="s">
        <v>116</v>
      </c>
      <c r="DDM93" s="456" t="s">
        <v>116</v>
      </c>
      <c r="DDN93" s="456" t="s">
        <v>116</v>
      </c>
      <c r="DDO93" s="456" t="s">
        <v>116</v>
      </c>
      <c r="DDP93" s="456" t="s">
        <v>116</v>
      </c>
      <c r="DDQ93" s="456" t="s">
        <v>116</v>
      </c>
      <c r="DDR93" s="456" t="s">
        <v>116</v>
      </c>
      <c r="DDS93" s="456" t="s">
        <v>116</v>
      </c>
      <c r="DDT93" s="456" t="s">
        <v>116</v>
      </c>
      <c r="DDU93" s="456" t="s">
        <v>116</v>
      </c>
      <c r="DDV93" s="456" t="s">
        <v>116</v>
      </c>
      <c r="DDW93" s="456" t="s">
        <v>116</v>
      </c>
      <c r="DDX93" s="456" t="s">
        <v>116</v>
      </c>
      <c r="DDY93" s="456" t="s">
        <v>116</v>
      </c>
      <c r="DDZ93" s="456" t="s">
        <v>116</v>
      </c>
      <c r="DEA93" s="456" t="s">
        <v>116</v>
      </c>
      <c r="DEB93" s="456" t="s">
        <v>116</v>
      </c>
      <c r="DEC93" s="456" t="s">
        <v>116</v>
      </c>
      <c r="DED93" s="456" t="s">
        <v>116</v>
      </c>
      <c r="DEE93" s="456" t="s">
        <v>116</v>
      </c>
      <c r="DEF93" s="456" t="s">
        <v>116</v>
      </c>
      <c r="DEG93" s="456" t="s">
        <v>116</v>
      </c>
      <c r="DEH93" s="456" t="s">
        <v>116</v>
      </c>
      <c r="DEI93" s="456" t="s">
        <v>116</v>
      </c>
      <c r="DEJ93" s="456" t="s">
        <v>116</v>
      </c>
      <c r="DEK93" s="456" t="s">
        <v>116</v>
      </c>
      <c r="DEL93" s="456" t="s">
        <v>116</v>
      </c>
      <c r="DEM93" s="456" t="s">
        <v>116</v>
      </c>
      <c r="DEN93" s="456" t="s">
        <v>116</v>
      </c>
      <c r="DEO93" s="456" t="s">
        <v>116</v>
      </c>
      <c r="DEP93" s="456" t="s">
        <v>116</v>
      </c>
      <c r="DEQ93" s="456" t="s">
        <v>116</v>
      </c>
      <c r="DER93" s="456" t="s">
        <v>116</v>
      </c>
      <c r="DES93" s="456" t="s">
        <v>116</v>
      </c>
      <c r="DET93" s="456" t="s">
        <v>116</v>
      </c>
      <c r="DEU93" s="456" t="s">
        <v>116</v>
      </c>
      <c r="DEV93" s="456" t="s">
        <v>116</v>
      </c>
      <c r="DEW93" s="456" t="s">
        <v>116</v>
      </c>
      <c r="DEX93" s="456" t="s">
        <v>116</v>
      </c>
      <c r="DEY93" s="456" t="s">
        <v>116</v>
      </c>
      <c r="DEZ93" s="456" t="s">
        <v>116</v>
      </c>
      <c r="DFA93" s="456" t="s">
        <v>116</v>
      </c>
      <c r="DFB93" s="456" t="s">
        <v>116</v>
      </c>
      <c r="DFC93" s="456" t="s">
        <v>116</v>
      </c>
      <c r="DFD93" s="456" t="s">
        <v>116</v>
      </c>
      <c r="DFE93" s="456" t="s">
        <v>116</v>
      </c>
      <c r="DFF93" s="456" t="s">
        <v>116</v>
      </c>
      <c r="DFG93" s="456" t="s">
        <v>116</v>
      </c>
      <c r="DFH93" s="456" t="s">
        <v>116</v>
      </c>
      <c r="DFI93" s="456" t="s">
        <v>116</v>
      </c>
      <c r="DFJ93" s="456" t="s">
        <v>116</v>
      </c>
      <c r="DFK93" s="456" t="s">
        <v>116</v>
      </c>
      <c r="DFL93" s="456" t="s">
        <v>116</v>
      </c>
      <c r="DFM93" s="456" t="s">
        <v>116</v>
      </c>
      <c r="DFN93" s="456" t="s">
        <v>116</v>
      </c>
      <c r="DFO93" s="456" t="s">
        <v>116</v>
      </c>
      <c r="DFP93" s="456" t="s">
        <v>116</v>
      </c>
      <c r="DFQ93" s="456" t="s">
        <v>116</v>
      </c>
      <c r="DFR93" s="456" t="s">
        <v>116</v>
      </c>
      <c r="DFS93" s="456" t="s">
        <v>116</v>
      </c>
      <c r="DFT93" s="456" t="s">
        <v>116</v>
      </c>
      <c r="DFU93" s="456" t="s">
        <v>116</v>
      </c>
      <c r="DFV93" s="456" t="s">
        <v>116</v>
      </c>
      <c r="DFW93" s="456" t="s">
        <v>116</v>
      </c>
      <c r="DFX93" s="456" t="s">
        <v>116</v>
      </c>
      <c r="DFY93" s="456" t="s">
        <v>116</v>
      </c>
      <c r="DFZ93" s="456" t="s">
        <v>116</v>
      </c>
      <c r="DGA93" s="456" t="s">
        <v>116</v>
      </c>
      <c r="DGB93" s="456" t="s">
        <v>116</v>
      </c>
      <c r="DGC93" s="456" t="s">
        <v>116</v>
      </c>
      <c r="DGD93" s="456" t="s">
        <v>116</v>
      </c>
      <c r="DGE93" s="456" t="s">
        <v>116</v>
      </c>
      <c r="DGF93" s="456" t="s">
        <v>116</v>
      </c>
      <c r="DGG93" s="456" t="s">
        <v>116</v>
      </c>
      <c r="DGH93" s="456" t="s">
        <v>116</v>
      </c>
      <c r="DGI93" s="456" t="s">
        <v>116</v>
      </c>
      <c r="DGJ93" s="456" t="s">
        <v>116</v>
      </c>
      <c r="DGK93" s="456" t="s">
        <v>116</v>
      </c>
      <c r="DGL93" s="456" t="s">
        <v>116</v>
      </c>
      <c r="DGM93" s="456" t="s">
        <v>116</v>
      </c>
      <c r="DGN93" s="456" t="s">
        <v>116</v>
      </c>
      <c r="DGO93" s="456" t="s">
        <v>116</v>
      </c>
      <c r="DGP93" s="456" t="s">
        <v>116</v>
      </c>
      <c r="DGQ93" s="456" t="s">
        <v>116</v>
      </c>
      <c r="DGR93" s="456" t="s">
        <v>116</v>
      </c>
      <c r="DGS93" s="456" t="s">
        <v>116</v>
      </c>
      <c r="DGT93" s="456" t="s">
        <v>116</v>
      </c>
      <c r="DGU93" s="456" t="s">
        <v>116</v>
      </c>
      <c r="DGV93" s="456" t="s">
        <v>116</v>
      </c>
      <c r="DGW93" s="456" t="s">
        <v>116</v>
      </c>
      <c r="DGX93" s="456" t="s">
        <v>116</v>
      </c>
      <c r="DGY93" s="456" t="s">
        <v>116</v>
      </c>
      <c r="DGZ93" s="456" t="s">
        <v>116</v>
      </c>
      <c r="DHA93" s="456" t="s">
        <v>116</v>
      </c>
      <c r="DHB93" s="456" t="s">
        <v>116</v>
      </c>
      <c r="DHC93" s="456" t="s">
        <v>116</v>
      </c>
      <c r="DHD93" s="456" t="s">
        <v>116</v>
      </c>
      <c r="DHE93" s="456" t="s">
        <v>116</v>
      </c>
      <c r="DHF93" s="456" t="s">
        <v>116</v>
      </c>
      <c r="DHG93" s="456" t="s">
        <v>116</v>
      </c>
      <c r="DHH93" s="456" t="s">
        <v>116</v>
      </c>
      <c r="DHI93" s="456" t="s">
        <v>116</v>
      </c>
      <c r="DHJ93" s="456" t="s">
        <v>116</v>
      </c>
      <c r="DHK93" s="456" t="s">
        <v>116</v>
      </c>
      <c r="DHL93" s="456" t="s">
        <v>116</v>
      </c>
      <c r="DHM93" s="456" t="s">
        <v>116</v>
      </c>
      <c r="DHN93" s="456" t="s">
        <v>116</v>
      </c>
      <c r="DHO93" s="456" t="s">
        <v>116</v>
      </c>
      <c r="DHP93" s="456" t="s">
        <v>116</v>
      </c>
      <c r="DHQ93" s="456" t="s">
        <v>116</v>
      </c>
      <c r="DHR93" s="456" t="s">
        <v>116</v>
      </c>
      <c r="DHS93" s="456" t="s">
        <v>116</v>
      </c>
      <c r="DHT93" s="456" t="s">
        <v>116</v>
      </c>
      <c r="DHU93" s="456" t="s">
        <v>116</v>
      </c>
      <c r="DHV93" s="456" t="s">
        <v>116</v>
      </c>
      <c r="DHW93" s="456" t="s">
        <v>116</v>
      </c>
      <c r="DHX93" s="456" t="s">
        <v>116</v>
      </c>
      <c r="DHY93" s="456" t="s">
        <v>116</v>
      </c>
      <c r="DHZ93" s="456" t="s">
        <v>116</v>
      </c>
      <c r="DIA93" s="456" t="s">
        <v>116</v>
      </c>
      <c r="DIB93" s="456" t="s">
        <v>116</v>
      </c>
      <c r="DIC93" s="456" t="s">
        <v>116</v>
      </c>
      <c r="DID93" s="456" t="s">
        <v>116</v>
      </c>
      <c r="DIE93" s="456" t="s">
        <v>116</v>
      </c>
      <c r="DIF93" s="456" t="s">
        <v>116</v>
      </c>
      <c r="DIG93" s="456" t="s">
        <v>116</v>
      </c>
      <c r="DIH93" s="456" t="s">
        <v>116</v>
      </c>
      <c r="DII93" s="456" t="s">
        <v>116</v>
      </c>
      <c r="DIJ93" s="456" t="s">
        <v>116</v>
      </c>
      <c r="DIK93" s="456" t="s">
        <v>116</v>
      </c>
      <c r="DIL93" s="456" t="s">
        <v>116</v>
      </c>
      <c r="DIM93" s="456" t="s">
        <v>116</v>
      </c>
      <c r="DIN93" s="456" t="s">
        <v>116</v>
      </c>
      <c r="DIO93" s="456" t="s">
        <v>116</v>
      </c>
      <c r="DIP93" s="456" t="s">
        <v>116</v>
      </c>
      <c r="DIQ93" s="456" t="s">
        <v>116</v>
      </c>
      <c r="DIR93" s="456" t="s">
        <v>116</v>
      </c>
      <c r="DIS93" s="456" t="s">
        <v>116</v>
      </c>
      <c r="DIT93" s="456" t="s">
        <v>116</v>
      </c>
      <c r="DIU93" s="456" t="s">
        <v>116</v>
      </c>
      <c r="DIV93" s="456" t="s">
        <v>116</v>
      </c>
      <c r="DIW93" s="456" t="s">
        <v>116</v>
      </c>
      <c r="DIX93" s="456" t="s">
        <v>116</v>
      </c>
      <c r="DIY93" s="456" t="s">
        <v>116</v>
      </c>
      <c r="DIZ93" s="456" t="s">
        <v>116</v>
      </c>
      <c r="DJA93" s="456" t="s">
        <v>116</v>
      </c>
      <c r="DJB93" s="456" t="s">
        <v>116</v>
      </c>
      <c r="DJC93" s="456" t="s">
        <v>116</v>
      </c>
      <c r="DJD93" s="456" t="s">
        <v>116</v>
      </c>
      <c r="DJE93" s="456" t="s">
        <v>116</v>
      </c>
      <c r="DJF93" s="456" t="s">
        <v>116</v>
      </c>
      <c r="DJG93" s="456" t="s">
        <v>116</v>
      </c>
      <c r="DJH93" s="456" t="s">
        <v>116</v>
      </c>
      <c r="DJI93" s="456" t="s">
        <v>116</v>
      </c>
      <c r="DJJ93" s="456" t="s">
        <v>116</v>
      </c>
      <c r="DJK93" s="456" t="s">
        <v>116</v>
      </c>
      <c r="DJL93" s="456" t="s">
        <v>116</v>
      </c>
      <c r="DJM93" s="456" t="s">
        <v>116</v>
      </c>
      <c r="DJN93" s="456" t="s">
        <v>116</v>
      </c>
      <c r="DJO93" s="456" t="s">
        <v>116</v>
      </c>
      <c r="DJP93" s="456" t="s">
        <v>116</v>
      </c>
      <c r="DJQ93" s="456" t="s">
        <v>116</v>
      </c>
      <c r="DJR93" s="456" t="s">
        <v>116</v>
      </c>
      <c r="DJS93" s="456" t="s">
        <v>116</v>
      </c>
      <c r="DJT93" s="456" t="s">
        <v>116</v>
      </c>
      <c r="DJU93" s="456" t="s">
        <v>116</v>
      </c>
      <c r="DJV93" s="456" t="s">
        <v>116</v>
      </c>
      <c r="DJW93" s="456" t="s">
        <v>116</v>
      </c>
      <c r="DJX93" s="456" t="s">
        <v>116</v>
      </c>
      <c r="DJY93" s="456" t="s">
        <v>116</v>
      </c>
      <c r="DJZ93" s="456" t="s">
        <v>116</v>
      </c>
      <c r="DKA93" s="456" t="s">
        <v>116</v>
      </c>
      <c r="DKB93" s="456" t="s">
        <v>116</v>
      </c>
      <c r="DKC93" s="456" t="s">
        <v>116</v>
      </c>
      <c r="DKD93" s="456" t="s">
        <v>116</v>
      </c>
      <c r="DKE93" s="456" t="s">
        <v>116</v>
      </c>
      <c r="DKF93" s="456" t="s">
        <v>116</v>
      </c>
      <c r="DKG93" s="456" t="s">
        <v>116</v>
      </c>
      <c r="DKH93" s="456" t="s">
        <v>116</v>
      </c>
      <c r="DKI93" s="456" t="s">
        <v>116</v>
      </c>
      <c r="DKJ93" s="456" t="s">
        <v>116</v>
      </c>
      <c r="DKK93" s="456" t="s">
        <v>116</v>
      </c>
      <c r="DKL93" s="456" t="s">
        <v>116</v>
      </c>
      <c r="DKM93" s="456" t="s">
        <v>116</v>
      </c>
      <c r="DKN93" s="456" t="s">
        <v>116</v>
      </c>
      <c r="DKO93" s="456" t="s">
        <v>116</v>
      </c>
      <c r="DKP93" s="456" t="s">
        <v>116</v>
      </c>
      <c r="DKQ93" s="456" t="s">
        <v>116</v>
      </c>
      <c r="DKR93" s="456" t="s">
        <v>116</v>
      </c>
      <c r="DKS93" s="456" t="s">
        <v>116</v>
      </c>
      <c r="DKT93" s="456" t="s">
        <v>116</v>
      </c>
      <c r="DKU93" s="456" t="s">
        <v>116</v>
      </c>
      <c r="DKV93" s="456" t="s">
        <v>116</v>
      </c>
      <c r="DKW93" s="456" t="s">
        <v>116</v>
      </c>
      <c r="DKX93" s="456" t="s">
        <v>116</v>
      </c>
      <c r="DKY93" s="456" t="s">
        <v>116</v>
      </c>
      <c r="DKZ93" s="456" t="s">
        <v>116</v>
      </c>
      <c r="DLA93" s="456" t="s">
        <v>116</v>
      </c>
      <c r="DLB93" s="456" t="s">
        <v>116</v>
      </c>
      <c r="DLC93" s="456" t="s">
        <v>116</v>
      </c>
      <c r="DLD93" s="456" t="s">
        <v>116</v>
      </c>
      <c r="DLE93" s="456" t="s">
        <v>116</v>
      </c>
      <c r="DLF93" s="456" t="s">
        <v>116</v>
      </c>
      <c r="DLG93" s="456" t="s">
        <v>116</v>
      </c>
      <c r="DLH93" s="456" t="s">
        <v>116</v>
      </c>
      <c r="DLI93" s="456" t="s">
        <v>116</v>
      </c>
      <c r="DLJ93" s="456" t="s">
        <v>116</v>
      </c>
      <c r="DLK93" s="456" t="s">
        <v>116</v>
      </c>
      <c r="DLL93" s="456" t="s">
        <v>116</v>
      </c>
      <c r="DLM93" s="456" t="s">
        <v>116</v>
      </c>
      <c r="DLN93" s="456" t="s">
        <v>116</v>
      </c>
      <c r="DLO93" s="456" t="s">
        <v>116</v>
      </c>
      <c r="DLP93" s="456" t="s">
        <v>116</v>
      </c>
      <c r="DLQ93" s="456" t="s">
        <v>116</v>
      </c>
      <c r="DLR93" s="456" t="s">
        <v>116</v>
      </c>
      <c r="DLS93" s="456" t="s">
        <v>116</v>
      </c>
      <c r="DLT93" s="456" t="s">
        <v>116</v>
      </c>
      <c r="DLU93" s="456" t="s">
        <v>116</v>
      </c>
      <c r="DLV93" s="456" t="s">
        <v>116</v>
      </c>
      <c r="DLW93" s="456" t="s">
        <v>116</v>
      </c>
      <c r="DLX93" s="456" t="s">
        <v>116</v>
      </c>
      <c r="DLY93" s="456" t="s">
        <v>116</v>
      </c>
      <c r="DLZ93" s="456" t="s">
        <v>116</v>
      </c>
      <c r="DMA93" s="456" t="s">
        <v>116</v>
      </c>
      <c r="DMB93" s="456" t="s">
        <v>116</v>
      </c>
      <c r="DMC93" s="456" t="s">
        <v>116</v>
      </c>
      <c r="DMD93" s="456" t="s">
        <v>116</v>
      </c>
      <c r="DME93" s="456" t="s">
        <v>116</v>
      </c>
      <c r="DMF93" s="456" t="s">
        <v>116</v>
      </c>
      <c r="DMG93" s="456" t="s">
        <v>116</v>
      </c>
      <c r="DMH93" s="456" t="s">
        <v>116</v>
      </c>
      <c r="DMI93" s="456" t="s">
        <v>116</v>
      </c>
      <c r="DMJ93" s="456" t="s">
        <v>116</v>
      </c>
      <c r="DMK93" s="456" t="s">
        <v>116</v>
      </c>
      <c r="DML93" s="456" t="s">
        <v>116</v>
      </c>
      <c r="DMM93" s="456" t="s">
        <v>116</v>
      </c>
      <c r="DMN93" s="456" t="s">
        <v>116</v>
      </c>
      <c r="DMO93" s="456" t="s">
        <v>116</v>
      </c>
      <c r="DMP93" s="456" t="s">
        <v>116</v>
      </c>
      <c r="DMQ93" s="456" t="s">
        <v>116</v>
      </c>
      <c r="DMR93" s="456" t="s">
        <v>116</v>
      </c>
      <c r="DMS93" s="456" t="s">
        <v>116</v>
      </c>
      <c r="DMT93" s="456" t="s">
        <v>116</v>
      </c>
      <c r="DMU93" s="456" t="s">
        <v>116</v>
      </c>
      <c r="DMV93" s="456" t="s">
        <v>116</v>
      </c>
      <c r="DMW93" s="456" t="s">
        <v>116</v>
      </c>
      <c r="DMX93" s="456" t="s">
        <v>116</v>
      </c>
      <c r="DMY93" s="456" t="s">
        <v>116</v>
      </c>
      <c r="DMZ93" s="456" t="s">
        <v>116</v>
      </c>
      <c r="DNA93" s="456" t="s">
        <v>116</v>
      </c>
      <c r="DNB93" s="456" t="s">
        <v>116</v>
      </c>
      <c r="DNC93" s="456" t="s">
        <v>116</v>
      </c>
      <c r="DND93" s="456" t="s">
        <v>116</v>
      </c>
      <c r="DNE93" s="456" t="s">
        <v>116</v>
      </c>
      <c r="DNF93" s="456" t="s">
        <v>116</v>
      </c>
      <c r="DNG93" s="456" t="s">
        <v>116</v>
      </c>
      <c r="DNH93" s="456" t="s">
        <v>116</v>
      </c>
      <c r="DNI93" s="456" t="s">
        <v>116</v>
      </c>
      <c r="DNJ93" s="456" t="s">
        <v>116</v>
      </c>
      <c r="DNK93" s="456" t="s">
        <v>116</v>
      </c>
      <c r="DNL93" s="456" t="s">
        <v>116</v>
      </c>
      <c r="DNM93" s="456" t="s">
        <v>116</v>
      </c>
      <c r="DNN93" s="456" t="s">
        <v>116</v>
      </c>
      <c r="DNO93" s="456" t="s">
        <v>116</v>
      </c>
      <c r="DNP93" s="456" t="s">
        <v>116</v>
      </c>
      <c r="DNQ93" s="456" t="s">
        <v>116</v>
      </c>
      <c r="DNR93" s="456" t="s">
        <v>116</v>
      </c>
      <c r="DNS93" s="456" t="s">
        <v>116</v>
      </c>
      <c r="DNT93" s="456" t="s">
        <v>116</v>
      </c>
      <c r="DNU93" s="456" t="s">
        <v>116</v>
      </c>
      <c r="DNV93" s="456" t="s">
        <v>116</v>
      </c>
      <c r="DNW93" s="456" t="s">
        <v>116</v>
      </c>
      <c r="DNX93" s="456" t="s">
        <v>116</v>
      </c>
      <c r="DNY93" s="456" t="s">
        <v>116</v>
      </c>
      <c r="DNZ93" s="456" t="s">
        <v>116</v>
      </c>
      <c r="DOA93" s="456" t="s">
        <v>116</v>
      </c>
      <c r="DOB93" s="456" t="s">
        <v>116</v>
      </c>
      <c r="DOC93" s="456" t="s">
        <v>116</v>
      </c>
      <c r="DOD93" s="456" t="s">
        <v>116</v>
      </c>
      <c r="DOE93" s="456" t="s">
        <v>116</v>
      </c>
      <c r="DOF93" s="456" t="s">
        <v>116</v>
      </c>
      <c r="DOG93" s="456" t="s">
        <v>116</v>
      </c>
      <c r="DOH93" s="456" t="s">
        <v>116</v>
      </c>
      <c r="DOI93" s="456" t="s">
        <v>116</v>
      </c>
      <c r="DOJ93" s="456" t="s">
        <v>116</v>
      </c>
      <c r="DOK93" s="456" t="s">
        <v>116</v>
      </c>
      <c r="DOL93" s="456" t="s">
        <v>116</v>
      </c>
      <c r="DOM93" s="456" t="s">
        <v>116</v>
      </c>
      <c r="DON93" s="456" t="s">
        <v>116</v>
      </c>
      <c r="DOO93" s="456" t="s">
        <v>116</v>
      </c>
      <c r="DOP93" s="456" t="s">
        <v>116</v>
      </c>
      <c r="DOQ93" s="456" t="s">
        <v>116</v>
      </c>
      <c r="DOR93" s="456" t="s">
        <v>116</v>
      </c>
      <c r="DOS93" s="456" t="s">
        <v>116</v>
      </c>
      <c r="DOT93" s="456" t="s">
        <v>116</v>
      </c>
      <c r="DOU93" s="456" t="s">
        <v>116</v>
      </c>
      <c r="DOV93" s="456" t="s">
        <v>116</v>
      </c>
      <c r="DOW93" s="456" t="s">
        <v>116</v>
      </c>
      <c r="DOX93" s="456" t="s">
        <v>116</v>
      </c>
      <c r="DOY93" s="456" t="s">
        <v>116</v>
      </c>
      <c r="DOZ93" s="456" t="s">
        <v>116</v>
      </c>
      <c r="DPA93" s="456" t="s">
        <v>116</v>
      </c>
      <c r="DPB93" s="456" t="s">
        <v>116</v>
      </c>
      <c r="DPC93" s="456" t="s">
        <v>116</v>
      </c>
      <c r="DPD93" s="456" t="s">
        <v>116</v>
      </c>
      <c r="DPE93" s="456" t="s">
        <v>116</v>
      </c>
      <c r="DPF93" s="456" t="s">
        <v>116</v>
      </c>
      <c r="DPG93" s="456" t="s">
        <v>116</v>
      </c>
      <c r="DPH93" s="456" t="s">
        <v>116</v>
      </c>
      <c r="DPI93" s="456" t="s">
        <v>116</v>
      </c>
      <c r="DPJ93" s="456" t="s">
        <v>116</v>
      </c>
      <c r="DPK93" s="456" t="s">
        <v>116</v>
      </c>
      <c r="DPL93" s="456" t="s">
        <v>116</v>
      </c>
      <c r="DPM93" s="456" t="s">
        <v>116</v>
      </c>
      <c r="DPN93" s="456" t="s">
        <v>116</v>
      </c>
      <c r="DPO93" s="456" t="s">
        <v>116</v>
      </c>
      <c r="DPP93" s="456" t="s">
        <v>116</v>
      </c>
      <c r="DPQ93" s="456" t="s">
        <v>116</v>
      </c>
      <c r="DPR93" s="456" t="s">
        <v>116</v>
      </c>
      <c r="DPS93" s="456" t="s">
        <v>116</v>
      </c>
      <c r="DPT93" s="456" t="s">
        <v>116</v>
      </c>
      <c r="DPU93" s="456" t="s">
        <v>116</v>
      </c>
      <c r="DPV93" s="456" t="s">
        <v>116</v>
      </c>
      <c r="DPW93" s="456" t="s">
        <v>116</v>
      </c>
      <c r="DPX93" s="456" t="s">
        <v>116</v>
      </c>
      <c r="DPY93" s="456" t="s">
        <v>116</v>
      </c>
      <c r="DPZ93" s="456" t="s">
        <v>116</v>
      </c>
      <c r="DQA93" s="456" t="s">
        <v>116</v>
      </c>
      <c r="DQB93" s="456" t="s">
        <v>116</v>
      </c>
      <c r="DQC93" s="456" t="s">
        <v>116</v>
      </c>
      <c r="DQD93" s="456" t="s">
        <v>116</v>
      </c>
      <c r="DQE93" s="456" t="s">
        <v>116</v>
      </c>
      <c r="DQF93" s="456" t="s">
        <v>116</v>
      </c>
      <c r="DQG93" s="456" t="s">
        <v>116</v>
      </c>
      <c r="DQH93" s="456" t="s">
        <v>116</v>
      </c>
      <c r="DQI93" s="456" t="s">
        <v>116</v>
      </c>
      <c r="DQJ93" s="456" t="s">
        <v>116</v>
      </c>
      <c r="DQK93" s="456" t="s">
        <v>116</v>
      </c>
      <c r="DQL93" s="456" t="s">
        <v>116</v>
      </c>
      <c r="DQM93" s="456" t="s">
        <v>116</v>
      </c>
      <c r="DQN93" s="456" t="s">
        <v>116</v>
      </c>
      <c r="DQO93" s="456" t="s">
        <v>116</v>
      </c>
      <c r="DQP93" s="456" t="s">
        <v>116</v>
      </c>
      <c r="DQQ93" s="456" t="s">
        <v>116</v>
      </c>
      <c r="DQR93" s="456" t="s">
        <v>116</v>
      </c>
      <c r="DQS93" s="456" t="s">
        <v>116</v>
      </c>
      <c r="DQT93" s="456" t="s">
        <v>116</v>
      </c>
      <c r="DQU93" s="456" t="s">
        <v>116</v>
      </c>
      <c r="DQV93" s="456" t="s">
        <v>116</v>
      </c>
      <c r="DQW93" s="456" t="s">
        <v>116</v>
      </c>
      <c r="DQX93" s="456" t="s">
        <v>116</v>
      </c>
      <c r="DQY93" s="456" t="s">
        <v>116</v>
      </c>
      <c r="DQZ93" s="456" t="s">
        <v>116</v>
      </c>
      <c r="DRA93" s="456" t="s">
        <v>116</v>
      </c>
      <c r="DRB93" s="456" t="s">
        <v>116</v>
      </c>
      <c r="DRC93" s="456" t="s">
        <v>116</v>
      </c>
      <c r="DRD93" s="456" t="s">
        <v>116</v>
      </c>
      <c r="DRE93" s="456" t="s">
        <v>116</v>
      </c>
      <c r="DRF93" s="456" t="s">
        <v>116</v>
      </c>
      <c r="DRG93" s="456" t="s">
        <v>116</v>
      </c>
      <c r="DRH93" s="456" t="s">
        <v>116</v>
      </c>
      <c r="DRI93" s="456" t="s">
        <v>116</v>
      </c>
      <c r="DRJ93" s="456" t="s">
        <v>116</v>
      </c>
      <c r="DRK93" s="456" t="s">
        <v>116</v>
      </c>
      <c r="DRL93" s="456" t="s">
        <v>116</v>
      </c>
      <c r="DRM93" s="456" t="s">
        <v>116</v>
      </c>
      <c r="DRN93" s="456" t="s">
        <v>116</v>
      </c>
      <c r="DRO93" s="456" t="s">
        <v>116</v>
      </c>
      <c r="DRP93" s="456" t="s">
        <v>116</v>
      </c>
      <c r="DRQ93" s="456" t="s">
        <v>116</v>
      </c>
      <c r="DRR93" s="456" t="s">
        <v>116</v>
      </c>
      <c r="DRS93" s="456" t="s">
        <v>116</v>
      </c>
      <c r="DRT93" s="456" t="s">
        <v>116</v>
      </c>
      <c r="DRU93" s="456" t="s">
        <v>116</v>
      </c>
      <c r="DRV93" s="456" t="s">
        <v>116</v>
      </c>
      <c r="DRW93" s="456" t="s">
        <v>116</v>
      </c>
      <c r="DRX93" s="456" t="s">
        <v>116</v>
      </c>
      <c r="DRY93" s="456" t="s">
        <v>116</v>
      </c>
      <c r="DRZ93" s="456" t="s">
        <v>116</v>
      </c>
      <c r="DSA93" s="456" t="s">
        <v>116</v>
      </c>
      <c r="DSB93" s="456" t="s">
        <v>116</v>
      </c>
      <c r="DSC93" s="456" t="s">
        <v>116</v>
      </c>
      <c r="DSD93" s="456" t="s">
        <v>116</v>
      </c>
      <c r="DSE93" s="456" t="s">
        <v>116</v>
      </c>
      <c r="DSF93" s="456" t="s">
        <v>116</v>
      </c>
      <c r="DSG93" s="456" t="s">
        <v>116</v>
      </c>
      <c r="DSH93" s="456" t="s">
        <v>116</v>
      </c>
      <c r="DSI93" s="456" t="s">
        <v>116</v>
      </c>
      <c r="DSJ93" s="456" t="s">
        <v>116</v>
      </c>
      <c r="DSK93" s="456" t="s">
        <v>116</v>
      </c>
      <c r="DSL93" s="456" t="s">
        <v>116</v>
      </c>
      <c r="DSM93" s="456" t="s">
        <v>116</v>
      </c>
      <c r="DSN93" s="456" t="s">
        <v>116</v>
      </c>
      <c r="DSO93" s="456" t="s">
        <v>116</v>
      </c>
      <c r="DSP93" s="456" t="s">
        <v>116</v>
      </c>
      <c r="DSQ93" s="456" t="s">
        <v>116</v>
      </c>
      <c r="DSR93" s="456" t="s">
        <v>116</v>
      </c>
      <c r="DSS93" s="456" t="s">
        <v>116</v>
      </c>
      <c r="DST93" s="456" t="s">
        <v>116</v>
      </c>
      <c r="DSU93" s="456" t="s">
        <v>116</v>
      </c>
      <c r="DSV93" s="456" t="s">
        <v>116</v>
      </c>
      <c r="DSW93" s="456" t="s">
        <v>116</v>
      </c>
      <c r="DSX93" s="456" t="s">
        <v>116</v>
      </c>
      <c r="DSY93" s="456" t="s">
        <v>116</v>
      </c>
      <c r="DSZ93" s="456" t="s">
        <v>116</v>
      </c>
      <c r="DTA93" s="456" t="s">
        <v>116</v>
      </c>
      <c r="DTB93" s="456" t="s">
        <v>116</v>
      </c>
      <c r="DTC93" s="456" t="s">
        <v>116</v>
      </c>
      <c r="DTD93" s="456" t="s">
        <v>116</v>
      </c>
      <c r="DTE93" s="456" t="s">
        <v>116</v>
      </c>
      <c r="DTF93" s="456" t="s">
        <v>116</v>
      </c>
      <c r="DTG93" s="456" t="s">
        <v>116</v>
      </c>
      <c r="DTH93" s="456" t="s">
        <v>116</v>
      </c>
      <c r="DTI93" s="456" t="s">
        <v>116</v>
      </c>
      <c r="DTJ93" s="456" t="s">
        <v>116</v>
      </c>
      <c r="DTK93" s="456" t="s">
        <v>116</v>
      </c>
      <c r="DTL93" s="456" t="s">
        <v>116</v>
      </c>
      <c r="DTM93" s="456" t="s">
        <v>116</v>
      </c>
      <c r="DTN93" s="456" t="s">
        <v>116</v>
      </c>
      <c r="DTO93" s="456" t="s">
        <v>116</v>
      </c>
      <c r="DTP93" s="456" t="s">
        <v>116</v>
      </c>
      <c r="DTQ93" s="456" t="s">
        <v>116</v>
      </c>
      <c r="DTR93" s="456" t="s">
        <v>116</v>
      </c>
      <c r="DTS93" s="456" t="s">
        <v>116</v>
      </c>
      <c r="DTT93" s="456" t="s">
        <v>116</v>
      </c>
      <c r="DTU93" s="456" t="s">
        <v>116</v>
      </c>
      <c r="DTV93" s="456" t="s">
        <v>116</v>
      </c>
      <c r="DTW93" s="456" t="s">
        <v>116</v>
      </c>
      <c r="DTX93" s="456" t="s">
        <v>116</v>
      </c>
      <c r="DTY93" s="456" t="s">
        <v>116</v>
      </c>
      <c r="DTZ93" s="456" t="s">
        <v>116</v>
      </c>
      <c r="DUA93" s="456" t="s">
        <v>116</v>
      </c>
      <c r="DUB93" s="456" t="s">
        <v>116</v>
      </c>
      <c r="DUC93" s="456" t="s">
        <v>116</v>
      </c>
      <c r="DUD93" s="456" t="s">
        <v>116</v>
      </c>
      <c r="DUE93" s="456" t="s">
        <v>116</v>
      </c>
      <c r="DUF93" s="456" t="s">
        <v>116</v>
      </c>
      <c r="DUG93" s="456" t="s">
        <v>116</v>
      </c>
      <c r="DUH93" s="456" t="s">
        <v>116</v>
      </c>
      <c r="DUI93" s="456" t="s">
        <v>116</v>
      </c>
      <c r="DUJ93" s="456" t="s">
        <v>116</v>
      </c>
      <c r="DUK93" s="456" t="s">
        <v>116</v>
      </c>
      <c r="DUL93" s="456" t="s">
        <v>116</v>
      </c>
      <c r="DUM93" s="456" t="s">
        <v>116</v>
      </c>
      <c r="DUN93" s="456" t="s">
        <v>116</v>
      </c>
      <c r="DUO93" s="456" t="s">
        <v>116</v>
      </c>
      <c r="DUP93" s="456" t="s">
        <v>116</v>
      </c>
      <c r="DUQ93" s="456" t="s">
        <v>116</v>
      </c>
      <c r="DUR93" s="456" t="s">
        <v>116</v>
      </c>
      <c r="DUS93" s="456" t="s">
        <v>116</v>
      </c>
      <c r="DUT93" s="456" t="s">
        <v>116</v>
      </c>
      <c r="DUU93" s="456" t="s">
        <v>116</v>
      </c>
      <c r="DUV93" s="456" t="s">
        <v>116</v>
      </c>
      <c r="DUW93" s="456" t="s">
        <v>116</v>
      </c>
      <c r="DUX93" s="456" t="s">
        <v>116</v>
      </c>
      <c r="DUY93" s="456" t="s">
        <v>116</v>
      </c>
      <c r="DUZ93" s="456" t="s">
        <v>116</v>
      </c>
      <c r="DVA93" s="456" t="s">
        <v>116</v>
      </c>
      <c r="DVB93" s="456" t="s">
        <v>116</v>
      </c>
      <c r="DVC93" s="456" t="s">
        <v>116</v>
      </c>
      <c r="DVD93" s="456" t="s">
        <v>116</v>
      </c>
      <c r="DVE93" s="456" t="s">
        <v>116</v>
      </c>
      <c r="DVF93" s="456" t="s">
        <v>116</v>
      </c>
      <c r="DVG93" s="456" t="s">
        <v>116</v>
      </c>
      <c r="DVH93" s="456" t="s">
        <v>116</v>
      </c>
      <c r="DVI93" s="456" t="s">
        <v>116</v>
      </c>
      <c r="DVJ93" s="456" t="s">
        <v>116</v>
      </c>
      <c r="DVK93" s="456" t="s">
        <v>116</v>
      </c>
      <c r="DVL93" s="456" t="s">
        <v>116</v>
      </c>
      <c r="DVM93" s="456" t="s">
        <v>116</v>
      </c>
      <c r="DVN93" s="456" t="s">
        <v>116</v>
      </c>
      <c r="DVO93" s="456" t="s">
        <v>116</v>
      </c>
      <c r="DVP93" s="456" t="s">
        <v>116</v>
      </c>
      <c r="DVQ93" s="456" t="s">
        <v>116</v>
      </c>
      <c r="DVR93" s="456" t="s">
        <v>116</v>
      </c>
      <c r="DVS93" s="456" t="s">
        <v>116</v>
      </c>
      <c r="DVT93" s="456" t="s">
        <v>116</v>
      </c>
      <c r="DVU93" s="456" t="s">
        <v>116</v>
      </c>
      <c r="DVV93" s="456" t="s">
        <v>116</v>
      </c>
      <c r="DVW93" s="456" t="s">
        <v>116</v>
      </c>
      <c r="DVX93" s="456" t="s">
        <v>116</v>
      </c>
      <c r="DVY93" s="456" t="s">
        <v>116</v>
      </c>
      <c r="DVZ93" s="456" t="s">
        <v>116</v>
      </c>
      <c r="DWA93" s="456" t="s">
        <v>116</v>
      </c>
      <c r="DWB93" s="456" t="s">
        <v>116</v>
      </c>
      <c r="DWC93" s="456" t="s">
        <v>116</v>
      </c>
      <c r="DWD93" s="456" t="s">
        <v>116</v>
      </c>
      <c r="DWE93" s="456" t="s">
        <v>116</v>
      </c>
      <c r="DWF93" s="456" t="s">
        <v>116</v>
      </c>
      <c r="DWG93" s="456" t="s">
        <v>116</v>
      </c>
      <c r="DWH93" s="456" t="s">
        <v>116</v>
      </c>
      <c r="DWI93" s="456" t="s">
        <v>116</v>
      </c>
      <c r="DWJ93" s="456" t="s">
        <v>116</v>
      </c>
      <c r="DWK93" s="456" t="s">
        <v>116</v>
      </c>
      <c r="DWL93" s="456" t="s">
        <v>116</v>
      </c>
      <c r="DWM93" s="456" t="s">
        <v>116</v>
      </c>
      <c r="DWN93" s="456" t="s">
        <v>116</v>
      </c>
      <c r="DWO93" s="456" t="s">
        <v>116</v>
      </c>
      <c r="DWP93" s="456" t="s">
        <v>116</v>
      </c>
      <c r="DWQ93" s="456" t="s">
        <v>116</v>
      </c>
      <c r="DWR93" s="456" t="s">
        <v>116</v>
      </c>
      <c r="DWS93" s="456" t="s">
        <v>116</v>
      </c>
      <c r="DWT93" s="456" t="s">
        <v>116</v>
      </c>
      <c r="DWU93" s="456" t="s">
        <v>116</v>
      </c>
      <c r="DWV93" s="456" t="s">
        <v>116</v>
      </c>
      <c r="DWW93" s="456" t="s">
        <v>116</v>
      </c>
      <c r="DWX93" s="456" t="s">
        <v>116</v>
      </c>
      <c r="DWY93" s="456" t="s">
        <v>116</v>
      </c>
      <c r="DWZ93" s="456" t="s">
        <v>116</v>
      </c>
      <c r="DXA93" s="456" t="s">
        <v>116</v>
      </c>
      <c r="DXB93" s="456" t="s">
        <v>116</v>
      </c>
      <c r="DXC93" s="456" t="s">
        <v>116</v>
      </c>
      <c r="DXD93" s="456" t="s">
        <v>116</v>
      </c>
      <c r="DXE93" s="456" t="s">
        <v>116</v>
      </c>
      <c r="DXF93" s="456" t="s">
        <v>116</v>
      </c>
      <c r="DXG93" s="456" t="s">
        <v>116</v>
      </c>
      <c r="DXH93" s="456" t="s">
        <v>116</v>
      </c>
      <c r="DXI93" s="456" t="s">
        <v>116</v>
      </c>
      <c r="DXJ93" s="456" t="s">
        <v>116</v>
      </c>
      <c r="DXK93" s="456" t="s">
        <v>116</v>
      </c>
      <c r="DXL93" s="456" t="s">
        <v>116</v>
      </c>
      <c r="DXM93" s="456" t="s">
        <v>116</v>
      </c>
      <c r="DXN93" s="456" t="s">
        <v>116</v>
      </c>
      <c r="DXO93" s="456" t="s">
        <v>116</v>
      </c>
      <c r="DXP93" s="456" t="s">
        <v>116</v>
      </c>
      <c r="DXQ93" s="456" t="s">
        <v>116</v>
      </c>
      <c r="DXR93" s="456" t="s">
        <v>116</v>
      </c>
      <c r="DXS93" s="456" t="s">
        <v>116</v>
      </c>
      <c r="DXT93" s="456" t="s">
        <v>116</v>
      </c>
      <c r="DXU93" s="456" t="s">
        <v>116</v>
      </c>
      <c r="DXV93" s="456" t="s">
        <v>116</v>
      </c>
      <c r="DXW93" s="456" t="s">
        <v>116</v>
      </c>
      <c r="DXX93" s="456" t="s">
        <v>116</v>
      </c>
      <c r="DXY93" s="456" t="s">
        <v>116</v>
      </c>
      <c r="DXZ93" s="456" t="s">
        <v>116</v>
      </c>
      <c r="DYA93" s="456" t="s">
        <v>116</v>
      </c>
      <c r="DYB93" s="456" t="s">
        <v>116</v>
      </c>
      <c r="DYC93" s="456" t="s">
        <v>116</v>
      </c>
      <c r="DYD93" s="456" t="s">
        <v>116</v>
      </c>
      <c r="DYE93" s="456" t="s">
        <v>116</v>
      </c>
      <c r="DYF93" s="456" t="s">
        <v>116</v>
      </c>
      <c r="DYG93" s="456" t="s">
        <v>116</v>
      </c>
      <c r="DYH93" s="456" t="s">
        <v>116</v>
      </c>
      <c r="DYI93" s="456" t="s">
        <v>116</v>
      </c>
      <c r="DYJ93" s="456" t="s">
        <v>116</v>
      </c>
      <c r="DYK93" s="456" t="s">
        <v>116</v>
      </c>
      <c r="DYL93" s="456" t="s">
        <v>116</v>
      </c>
      <c r="DYM93" s="456" t="s">
        <v>116</v>
      </c>
      <c r="DYN93" s="456" t="s">
        <v>116</v>
      </c>
      <c r="DYO93" s="456" t="s">
        <v>116</v>
      </c>
      <c r="DYP93" s="456" t="s">
        <v>116</v>
      </c>
      <c r="DYQ93" s="456" t="s">
        <v>116</v>
      </c>
      <c r="DYR93" s="456" t="s">
        <v>116</v>
      </c>
      <c r="DYS93" s="456" t="s">
        <v>116</v>
      </c>
      <c r="DYT93" s="456" t="s">
        <v>116</v>
      </c>
      <c r="DYU93" s="456" t="s">
        <v>116</v>
      </c>
      <c r="DYV93" s="456" t="s">
        <v>116</v>
      </c>
      <c r="DYW93" s="456" t="s">
        <v>116</v>
      </c>
      <c r="DYX93" s="456" t="s">
        <v>116</v>
      </c>
      <c r="DYY93" s="456" t="s">
        <v>116</v>
      </c>
      <c r="DYZ93" s="456" t="s">
        <v>116</v>
      </c>
      <c r="DZA93" s="456" t="s">
        <v>116</v>
      </c>
      <c r="DZB93" s="456" t="s">
        <v>116</v>
      </c>
      <c r="DZC93" s="456" t="s">
        <v>116</v>
      </c>
      <c r="DZD93" s="456" t="s">
        <v>116</v>
      </c>
      <c r="DZE93" s="456" t="s">
        <v>116</v>
      </c>
      <c r="DZF93" s="456" t="s">
        <v>116</v>
      </c>
      <c r="DZG93" s="456" t="s">
        <v>116</v>
      </c>
      <c r="DZH93" s="456" t="s">
        <v>116</v>
      </c>
      <c r="DZI93" s="456" t="s">
        <v>116</v>
      </c>
      <c r="DZJ93" s="456" t="s">
        <v>116</v>
      </c>
      <c r="DZK93" s="456" t="s">
        <v>116</v>
      </c>
      <c r="DZL93" s="456" t="s">
        <v>116</v>
      </c>
      <c r="DZM93" s="456" t="s">
        <v>116</v>
      </c>
      <c r="DZN93" s="456" t="s">
        <v>116</v>
      </c>
      <c r="DZO93" s="456" t="s">
        <v>116</v>
      </c>
      <c r="DZP93" s="456" t="s">
        <v>116</v>
      </c>
      <c r="DZQ93" s="456" t="s">
        <v>116</v>
      </c>
      <c r="DZR93" s="456" t="s">
        <v>116</v>
      </c>
      <c r="DZS93" s="456" t="s">
        <v>116</v>
      </c>
      <c r="DZT93" s="456" t="s">
        <v>116</v>
      </c>
      <c r="DZU93" s="456" t="s">
        <v>116</v>
      </c>
      <c r="DZV93" s="456" t="s">
        <v>116</v>
      </c>
      <c r="DZW93" s="456" t="s">
        <v>116</v>
      </c>
      <c r="DZX93" s="456" t="s">
        <v>116</v>
      </c>
      <c r="DZY93" s="456" t="s">
        <v>116</v>
      </c>
      <c r="DZZ93" s="456" t="s">
        <v>116</v>
      </c>
      <c r="EAA93" s="456" t="s">
        <v>116</v>
      </c>
      <c r="EAB93" s="456" t="s">
        <v>116</v>
      </c>
      <c r="EAC93" s="456" t="s">
        <v>116</v>
      </c>
      <c r="EAD93" s="456" t="s">
        <v>116</v>
      </c>
      <c r="EAE93" s="456" t="s">
        <v>116</v>
      </c>
      <c r="EAF93" s="456" t="s">
        <v>116</v>
      </c>
      <c r="EAG93" s="456" t="s">
        <v>116</v>
      </c>
      <c r="EAH93" s="456" t="s">
        <v>116</v>
      </c>
      <c r="EAI93" s="456" t="s">
        <v>116</v>
      </c>
      <c r="EAJ93" s="456" t="s">
        <v>116</v>
      </c>
      <c r="EAK93" s="456" t="s">
        <v>116</v>
      </c>
      <c r="EAL93" s="456" t="s">
        <v>116</v>
      </c>
      <c r="EAM93" s="456" t="s">
        <v>116</v>
      </c>
      <c r="EAN93" s="456" t="s">
        <v>116</v>
      </c>
      <c r="EAO93" s="456" t="s">
        <v>116</v>
      </c>
      <c r="EAP93" s="456" t="s">
        <v>116</v>
      </c>
      <c r="EAQ93" s="456" t="s">
        <v>116</v>
      </c>
      <c r="EAR93" s="456" t="s">
        <v>116</v>
      </c>
      <c r="EAS93" s="456" t="s">
        <v>116</v>
      </c>
      <c r="EAT93" s="456" t="s">
        <v>116</v>
      </c>
      <c r="EAU93" s="456" t="s">
        <v>116</v>
      </c>
      <c r="EAV93" s="456" t="s">
        <v>116</v>
      </c>
      <c r="EAW93" s="456" t="s">
        <v>116</v>
      </c>
      <c r="EAX93" s="456" t="s">
        <v>116</v>
      </c>
      <c r="EAY93" s="456" t="s">
        <v>116</v>
      </c>
      <c r="EAZ93" s="456" t="s">
        <v>116</v>
      </c>
      <c r="EBA93" s="456" t="s">
        <v>116</v>
      </c>
      <c r="EBB93" s="456" t="s">
        <v>116</v>
      </c>
      <c r="EBC93" s="456" t="s">
        <v>116</v>
      </c>
      <c r="EBD93" s="456" t="s">
        <v>116</v>
      </c>
      <c r="EBE93" s="456" t="s">
        <v>116</v>
      </c>
      <c r="EBF93" s="456" t="s">
        <v>116</v>
      </c>
      <c r="EBG93" s="456" t="s">
        <v>116</v>
      </c>
      <c r="EBH93" s="456" t="s">
        <v>116</v>
      </c>
      <c r="EBI93" s="456" t="s">
        <v>116</v>
      </c>
      <c r="EBJ93" s="456" t="s">
        <v>116</v>
      </c>
      <c r="EBK93" s="456" t="s">
        <v>116</v>
      </c>
      <c r="EBL93" s="456" t="s">
        <v>116</v>
      </c>
      <c r="EBM93" s="456" t="s">
        <v>116</v>
      </c>
      <c r="EBN93" s="456" t="s">
        <v>116</v>
      </c>
      <c r="EBO93" s="456" t="s">
        <v>116</v>
      </c>
      <c r="EBP93" s="456" t="s">
        <v>116</v>
      </c>
      <c r="EBQ93" s="456" t="s">
        <v>116</v>
      </c>
      <c r="EBR93" s="456" t="s">
        <v>116</v>
      </c>
      <c r="EBS93" s="456" t="s">
        <v>116</v>
      </c>
      <c r="EBT93" s="456" t="s">
        <v>116</v>
      </c>
      <c r="EBU93" s="456" t="s">
        <v>116</v>
      </c>
      <c r="EBV93" s="456" t="s">
        <v>116</v>
      </c>
      <c r="EBW93" s="456" t="s">
        <v>116</v>
      </c>
      <c r="EBX93" s="456" t="s">
        <v>116</v>
      </c>
      <c r="EBY93" s="456" t="s">
        <v>116</v>
      </c>
      <c r="EBZ93" s="456" t="s">
        <v>116</v>
      </c>
      <c r="ECA93" s="456" t="s">
        <v>116</v>
      </c>
      <c r="ECB93" s="456" t="s">
        <v>116</v>
      </c>
      <c r="ECC93" s="456" t="s">
        <v>116</v>
      </c>
      <c r="ECD93" s="456" t="s">
        <v>116</v>
      </c>
      <c r="ECE93" s="456" t="s">
        <v>116</v>
      </c>
      <c r="ECF93" s="456" t="s">
        <v>116</v>
      </c>
      <c r="ECG93" s="456" t="s">
        <v>116</v>
      </c>
      <c r="ECH93" s="456" t="s">
        <v>116</v>
      </c>
      <c r="ECI93" s="456" t="s">
        <v>116</v>
      </c>
      <c r="ECJ93" s="456" t="s">
        <v>116</v>
      </c>
      <c r="ECK93" s="456" t="s">
        <v>116</v>
      </c>
      <c r="ECL93" s="456" t="s">
        <v>116</v>
      </c>
      <c r="ECM93" s="456" t="s">
        <v>116</v>
      </c>
      <c r="ECN93" s="456" t="s">
        <v>116</v>
      </c>
      <c r="ECO93" s="456" t="s">
        <v>116</v>
      </c>
      <c r="ECP93" s="456" t="s">
        <v>116</v>
      </c>
      <c r="ECQ93" s="456" t="s">
        <v>116</v>
      </c>
      <c r="ECR93" s="456" t="s">
        <v>116</v>
      </c>
      <c r="ECS93" s="456" t="s">
        <v>116</v>
      </c>
      <c r="ECT93" s="456" t="s">
        <v>116</v>
      </c>
      <c r="ECU93" s="456" t="s">
        <v>116</v>
      </c>
      <c r="ECV93" s="456" t="s">
        <v>116</v>
      </c>
      <c r="ECW93" s="456" t="s">
        <v>116</v>
      </c>
      <c r="ECX93" s="456" t="s">
        <v>116</v>
      </c>
      <c r="ECY93" s="456" t="s">
        <v>116</v>
      </c>
      <c r="ECZ93" s="456" t="s">
        <v>116</v>
      </c>
      <c r="EDA93" s="456" t="s">
        <v>116</v>
      </c>
      <c r="EDB93" s="456" t="s">
        <v>116</v>
      </c>
      <c r="EDC93" s="456" t="s">
        <v>116</v>
      </c>
      <c r="EDD93" s="456" t="s">
        <v>116</v>
      </c>
      <c r="EDE93" s="456" t="s">
        <v>116</v>
      </c>
      <c r="EDF93" s="456" t="s">
        <v>116</v>
      </c>
      <c r="EDG93" s="456" t="s">
        <v>116</v>
      </c>
      <c r="EDH93" s="456" t="s">
        <v>116</v>
      </c>
      <c r="EDI93" s="456" t="s">
        <v>116</v>
      </c>
      <c r="EDJ93" s="456" t="s">
        <v>116</v>
      </c>
      <c r="EDK93" s="456" t="s">
        <v>116</v>
      </c>
      <c r="EDL93" s="456" t="s">
        <v>116</v>
      </c>
      <c r="EDM93" s="456" t="s">
        <v>116</v>
      </c>
      <c r="EDN93" s="456" t="s">
        <v>116</v>
      </c>
      <c r="EDO93" s="456" t="s">
        <v>116</v>
      </c>
      <c r="EDP93" s="456" t="s">
        <v>116</v>
      </c>
      <c r="EDQ93" s="456" t="s">
        <v>116</v>
      </c>
      <c r="EDR93" s="456" t="s">
        <v>116</v>
      </c>
      <c r="EDS93" s="456" t="s">
        <v>116</v>
      </c>
      <c r="EDT93" s="456" t="s">
        <v>116</v>
      </c>
      <c r="EDU93" s="456" t="s">
        <v>116</v>
      </c>
      <c r="EDV93" s="456" t="s">
        <v>116</v>
      </c>
      <c r="EDW93" s="456" t="s">
        <v>116</v>
      </c>
      <c r="EDX93" s="456" t="s">
        <v>116</v>
      </c>
      <c r="EDY93" s="456" t="s">
        <v>116</v>
      </c>
      <c r="EDZ93" s="456" t="s">
        <v>116</v>
      </c>
      <c r="EEA93" s="456" t="s">
        <v>116</v>
      </c>
      <c r="EEB93" s="456" t="s">
        <v>116</v>
      </c>
      <c r="EEC93" s="456" t="s">
        <v>116</v>
      </c>
      <c r="EED93" s="456" t="s">
        <v>116</v>
      </c>
      <c r="EEE93" s="456" t="s">
        <v>116</v>
      </c>
      <c r="EEF93" s="456" t="s">
        <v>116</v>
      </c>
      <c r="EEG93" s="456" t="s">
        <v>116</v>
      </c>
      <c r="EEH93" s="456" t="s">
        <v>116</v>
      </c>
      <c r="EEI93" s="456" t="s">
        <v>116</v>
      </c>
      <c r="EEJ93" s="456" t="s">
        <v>116</v>
      </c>
      <c r="EEK93" s="456" t="s">
        <v>116</v>
      </c>
      <c r="EEL93" s="456" t="s">
        <v>116</v>
      </c>
      <c r="EEM93" s="456" t="s">
        <v>116</v>
      </c>
      <c r="EEN93" s="456" t="s">
        <v>116</v>
      </c>
      <c r="EEO93" s="456" t="s">
        <v>116</v>
      </c>
      <c r="EEP93" s="456" t="s">
        <v>116</v>
      </c>
      <c r="EEQ93" s="456" t="s">
        <v>116</v>
      </c>
      <c r="EER93" s="456" t="s">
        <v>116</v>
      </c>
      <c r="EES93" s="456" t="s">
        <v>116</v>
      </c>
      <c r="EET93" s="456" t="s">
        <v>116</v>
      </c>
      <c r="EEU93" s="456" t="s">
        <v>116</v>
      </c>
      <c r="EEV93" s="456" t="s">
        <v>116</v>
      </c>
      <c r="EEW93" s="456" t="s">
        <v>116</v>
      </c>
      <c r="EEX93" s="456" t="s">
        <v>116</v>
      </c>
      <c r="EEY93" s="456" t="s">
        <v>116</v>
      </c>
      <c r="EEZ93" s="456" t="s">
        <v>116</v>
      </c>
      <c r="EFA93" s="456" t="s">
        <v>116</v>
      </c>
      <c r="EFB93" s="456" t="s">
        <v>116</v>
      </c>
      <c r="EFC93" s="456" t="s">
        <v>116</v>
      </c>
      <c r="EFD93" s="456" t="s">
        <v>116</v>
      </c>
      <c r="EFE93" s="456" t="s">
        <v>116</v>
      </c>
      <c r="EFF93" s="456" t="s">
        <v>116</v>
      </c>
      <c r="EFG93" s="456" t="s">
        <v>116</v>
      </c>
      <c r="EFH93" s="456" t="s">
        <v>116</v>
      </c>
      <c r="EFI93" s="456" t="s">
        <v>116</v>
      </c>
      <c r="EFJ93" s="456" t="s">
        <v>116</v>
      </c>
      <c r="EFK93" s="456" t="s">
        <v>116</v>
      </c>
      <c r="EFL93" s="456" t="s">
        <v>116</v>
      </c>
      <c r="EFM93" s="456" t="s">
        <v>116</v>
      </c>
      <c r="EFN93" s="456" t="s">
        <v>116</v>
      </c>
      <c r="EFO93" s="456" t="s">
        <v>116</v>
      </c>
      <c r="EFP93" s="456" t="s">
        <v>116</v>
      </c>
      <c r="EFQ93" s="456" t="s">
        <v>116</v>
      </c>
      <c r="EFR93" s="456" t="s">
        <v>116</v>
      </c>
      <c r="EFS93" s="456" t="s">
        <v>116</v>
      </c>
      <c r="EFT93" s="456" t="s">
        <v>116</v>
      </c>
      <c r="EFU93" s="456" t="s">
        <v>116</v>
      </c>
      <c r="EFV93" s="456" t="s">
        <v>116</v>
      </c>
      <c r="EFW93" s="456" t="s">
        <v>116</v>
      </c>
      <c r="EFX93" s="456" t="s">
        <v>116</v>
      </c>
      <c r="EFY93" s="456" t="s">
        <v>116</v>
      </c>
      <c r="EFZ93" s="456" t="s">
        <v>116</v>
      </c>
      <c r="EGA93" s="456" t="s">
        <v>116</v>
      </c>
      <c r="EGB93" s="456" t="s">
        <v>116</v>
      </c>
      <c r="EGC93" s="456" t="s">
        <v>116</v>
      </c>
      <c r="EGD93" s="456" t="s">
        <v>116</v>
      </c>
      <c r="EGE93" s="456" t="s">
        <v>116</v>
      </c>
      <c r="EGF93" s="456" t="s">
        <v>116</v>
      </c>
      <c r="EGG93" s="456" t="s">
        <v>116</v>
      </c>
      <c r="EGH93" s="456" t="s">
        <v>116</v>
      </c>
      <c r="EGI93" s="456" t="s">
        <v>116</v>
      </c>
      <c r="EGJ93" s="456" t="s">
        <v>116</v>
      </c>
      <c r="EGK93" s="456" t="s">
        <v>116</v>
      </c>
      <c r="EGL93" s="456" t="s">
        <v>116</v>
      </c>
      <c r="EGM93" s="456" t="s">
        <v>116</v>
      </c>
      <c r="EGN93" s="456" t="s">
        <v>116</v>
      </c>
      <c r="EGO93" s="456" t="s">
        <v>116</v>
      </c>
      <c r="EGP93" s="456" t="s">
        <v>116</v>
      </c>
      <c r="EGQ93" s="456" t="s">
        <v>116</v>
      </c>
      <c r="EGR93" s="456" t="s">
        <v>116</v>
      </c>
      <c r="EGS93" s="456" t="s">
        <v>116</v>
      </c>
      <c r="EGT93" s="456" t="s">
        <v>116</v>
      </c>
      <c r="EGU93" s="456" t="s">
        <v>116</v>
      </c>
      <c r="EGV93" s="456" t="s">
        <v>116</v>
      </c>
      <c r="EGW93" s="456" t="s">
        <v>116</v>
      </c>
      <c r="EGX93" s="456" t="s">
        <v>116</v>
      </c>
      <c r="EGY93" s="456" t="s">
        <v>116</v>
      </c>
      <c r="EGZ93" s="456" t="s">
        <v>116</v>
      </c>
      <c r="EHA93" s="456" t="s">
        <v>116</v>
      </c>
      <c r="EHB93" s="456" t="s">
        <v>116</v>
      </c>
      <c r="EHC93" s="456" t="s">
        <v>116</v>
      </c>
      <c r="EHD93" s="456" t="s">
        <v>116</v>
      </c>
      <c r="EHE93" s="456" t="s">
        <v>116</v>
      </c>
      <c r="EHF93" s="456" t="s">
        <v>116</v>
      </c>
      <c r="EHG93" s="456" t="s">
        <v>116</v>
      </c>
      <c r="EHH93" s="456" t="s">
        <v>116</v>
      </c>
      <c r="EHI93" s="456" t="s">
        <v>116</v>
      </c>
      <c r="EHJ93" s="456" t="s">
        <v>116</v>
      </c>
      <c r="EHK93" s="456" t="s">
        <v>116</v>
      </c>
      <c r="EHL93" s="456" t="s">
        <v>116</v>
      </c>
      <c r="EHM93" s="456" t="s">
        <v>116</v>
      </c>
      <c r="EHN93" s="456" t="s">
        <v>116</v>
      </c>
      <c r="EHO93" s="456" t="s">
        <v>116</v>
      </c>
      <c r="EHP93" s="456" t="s">
        <v>116</v>
      </c>
      <c r="EHQ93" s="456" t="s">
        <v>116</v>
      </c>
      <c r="EHR93" s="456" t="s">
        <v>116</v>
      </c>
      <c r="EHS93" s="456" t="s">
        <v>116</v>
      </c>
      <c r="EHT93" s="456" t="s">
        <v>116</v>
      </c>
      <c r="EHU93" s="456" t="s">
        <v>116</v>
      </c>
      <c r="EHV93" s="456" t="s">
        <v>116</v>
      </c>
      <c r="EHW93" s="456" t="s">
        <v>116</v>
      </c>
      <c r="EHX93" s="456" t="s">
        <v>116</v>
      </c>
      <c r="EHY93" s="456" t="s">
        <v>116</v>
      </c>
      <c r="EHZ93" s="456" t="s">
        <v>116</v>
      </c>
      <c r="EIA93" s="456" t="s">
        <v>116</v>
      </c>
      <c r="EIB93" s="456" t="s">
        <v>116</v>
      </c>
      <c r="EIC93" s="456" t="s">
        <v>116</v>
      </c>
      <c r="EID93" s="456" t="s">
        <v>116</v>
      </c>
      <c r="EIE93" s="456" t="s">
        <v>116</v>
      </c>
      <c r="EIF93" s="456" t="s">
        <v>116</v>
      </c>
      <c r="EIG93" s="456" t="s">
        <v>116</v>
      </c>
      <c r="EIH93" s="456" t="s">
        <v>116</v>
      </c>
      <c r="EII93" s="456" t="s">
        <v>116</v>
      </c>
      <c r="EIJ93" s="456" t="s">
        <v>116</v>
      </c>
      <c r="EIK93" s="456" t="s">
        <v>116</v>
      </c>
      <c r="EIL93" s="456" t="s">
        <v>116</v>
      </c>
      <c r="EIM93" s="456" t="s">
        <v>116</v>
      </c>
      <c r="EIN93" s="456" t="s">
        <v>116</v>
      </c>
      <c r="EIO93" s="456" t="s">
        <v>116</v>
      </c>
      <c r="EIP93" s="456" t="s">
        <v>116</v>
      </c>
      <c r="EIQ93" s="456" t="s">
        <v>116</v>
      </c>
      <c r="EIR93" s="456" t="s">
        <v>116</v>
      </c>
      <c r="EIS93" s="456" t="s">
        <v>116</v>
      </c>
      <c r="EIT93" s="456" t="s">
        <v>116</v>
      </c>
      <c r="EIU93" s="456" t="s">
        <v>116</v>
      </c>
      <c r="EIV93" s="456" t="s">
        <v>116</v>
      </c>
      <c r="EIW93" s="456" t="s">
        <v>116</v>
      </c>
      <c r="EIX93" s="456" t="s">
        <v>116</v>
      </c>
      <c r="EIY93" s="456" t="s">
        <v>116</v>
      </c>
      <c r="EIZ93" s="456" t="s">
        <v>116</v>
      </c>
      <c r="EJA93" s="456" t="s">
        <v>116</v>
      </c>
      <c r="EJB93" s="456" t="s">
        <v>116</v>
      </c>
      <c r="EJC93" s="456" t="s">
        <v>116</v>
      </c>
      <c r="EJD93" s="456" t="s">
        <v>116</v>
      </c>
      <c r="EJE93" s="456" t="s">
        <v>116</v>
      </c>
      <c r="EJF93" s="456" t="s">
        <v>116</v>
      </c>
      <c r="EJG93" s="456" t="s">
        <v>116</v>
      </c>
      <c r="EJH93" s="456" t="s">
        <v>116</v>
      </c>
      <c r="EJI93" s="456" t="s">
        <v>116</v>
      </c>
      <c r="EJJ93" s="456" t="s">
        <v>116</v>
      </c>
      <c r="EJK93" s="456" t="s">
        <v>116</v>
      </c>
      <c r="EJL93" s="456" t="s">
        <v>116</v>
      </c>
      <c r="EJM93" s="456" t="s">
        <v>116</v>
      </c>
      <c r="EJN93" s="456" t="s">
        <v>116</v>
      </c>
      <c r="EJO93" s="456" t="s">
        <v>116</v>
      </c>
      <c r="EJP93" s="456" t="s">
        <v>116</v>
      </c>
      <c r="EJQ93" s="456" t="s">
        <v>116</v>
      </c>
      <c r="EJR93" s="456" t="s">
        <v>116</v>
      </c>
      <c r="EJS93" s="456" t="s">
        <v>116</v>
      </c>
      <c r="EJT93" s="456" t="s">
        <v>116</v>
      </c>
      <c r="EJU93" s="456" t="s">
        <v>116</v>
      </c>
      <c r="EJV93" s="456" t="s">
        <v>116</v>
      </c>
      <c r="EJW93" s="456" t="s">
        <v>116</v>
      </c>
      <c r="EJX93" s="456" t="s">
        <v>116</v>
      </c>
      <c r="EJY93" s="456" t="s">
        <v>116</v>
      </c>
      <c r="EJZ93" s="456" t="s">
        <v>116</v>
      </c>
      <c r="EKA93" s="456" t="s">
        <v>116</v>
      </c>
      <c r="EKB93" s="456" t="s">
        <v>116</v>
      </c>
      <c r="EKC93" s="456" t="s">
        <v>116</v>
      </c>
      <c r="EKD93" s="456" t="s">
        <v>116</v>
      </c>
      <c r="EKE93" s="456" t="s">
        <v>116</v>
      </c>
      <c r="EKF93" s="456" t="s">
        <v>116</v>
      </c>
      <c r="EKG93" s="456" t="s">
        <v>116</v>
      </c>
      <c r="EKH93" s="456" t="s">
        <v>116</v>
      </c>
      <c r="EKI93" s="456" t="s">
        <v>116</v>
      </c>
      <c r="EKJ93" s="456" t="s">
        <v>116</v>
      </c>
      <c r="EKK93" s="456" t="s">
        <v>116</v>
      </c>
      <c r="EKL93" s="456" t="s">
        <v>116</v>
      </c>
      <c r="EKM93" s="456" t="s">
        <v>116</v>
      </c>
      <c r="EKN93" s="456" t="s">
        <v>116</v>
      </c>
      <c r="EKO93" s="456" t="s">
        <v>116</v>
      </c>
      <c r="EKP93" s="456" t="s">
        <v>116</v>
      </c>
      <c r="EKQ93" s="456" t="s">
        <v>116</v>
      </c>
      <c r="EKR93" s="456" t="s">
        <v>116</v>
      </c>
      <c r="EKS93" s="456" t="s">
        <v>116</v>
      </c>
      <c r="EKT93" s="456" t="s">
        <v>116</v>
      </c>
      <c r="EKU93" s="456" t="s">
        <v>116</v>
      </c>
      <c r="EKV93" s="456" t="s">
        <v>116</v>
      </c>
      <c r="EKW93" s="456" t="s">
        <v>116</v>
      </c>
      <c r="EKX93" s="456" t="s">
        <v>116</v>
      </c>
      <c r="EKY93" s="456" t="s">
        <v>116</v>
      </c>
      <c r="EKZ93" s="456" t="s">
        <v>116</v>
      </c>
      <c r="ELA93" s="456" t="s">
        <v>116</v>
      </c>
      <c r="ELB93" s="456" t="s">
        <v>116</v>
      </c>
      <c r="ELC93" s="456" t="s">
        <v>116</v>
      </c>
      <c r="ELD93" s="456" t="s">
        <v>116</v>
      </c>
      <c r="ELE93" s="456" t="s">
        <v>116</v>
      </c>
      <c r="ELF93" s="456" t="s">
        <v>116</v>
      </c>
      <c r="ELG93" s="456" t="s">
        <v>116</v>
      </c>
      <c r="ELH93" s="456" t="s">
        <v>116</v>
      </c>
      <c r="ELI93" s="456" t="s">
        <v>116</v>
      </c>
      <c r="ELJ93" s="456" t="s">
        <v>116</v>
      </c>
      <c r="ELK93" s="456" t="s">
        <v>116</v>
      </c>
      <c r="ELL93" s="456" t="s">
        <v>116</v>
      </c>
      <c r="ELM93" s="456" t="s">
        <v>116</v>
      </c>
      <c r="ELN93" s="456" t="s">
        <v>116</v>
      </c>
      <c r="ELO93" s="456" t="s">
        <v>116</v>
      </c>
      <c r="ELP93" s="456" t="s">
        <v>116</v>
      </c>
      <c r="ELQ93" s="456" t="s">
        <v>116</v>
      </c>
      <c r="ELR93" s="456" t="s">
        <v>116</v>
      </c>
      <c r="ELS93" s="456" t="s">
        <v>116</v>
      </c>
      <c r="ELT93" s="456" t="s">
        <v>116</v>
      </c>
      <c r="ELU93" s="456" t="s">
        <v>116</v>
      </c>
      <c r="ELV93" s="456" t="s">
        <v>116</v>
      </c>
      <c r="ELW93" s="456" t="s">
        <v>116</v>
      </c>
      <c r="ELX93" s="456" t="s">
        <v>116</v>
      </c>
      <c r="ELY93" s="456" t="s">
        <v>116</v>
      </c>
      <c r="ELZ93" s="456" t="s">
        <v>116</v>
      </c>
      <c r="EMA93" s="456" t="s">
        <v>116</v>
      </c>
      <c r="EMB93" s="456" t="s">
        <v>116</v>
      </c>
      <c r="EMC93" s="456" t="s">
        <v>116</v>
      </c>
      <c r="EMD93" s="456" t="s">
        <v>116</v>
      </c>
      <c r="EME93" s="456" t="s">
        <v>116</v>
      </c>
      <c r="EMF93" s="456" t="s">
        <v>116</v>
      </c>
      <c r="EMG93" s="456" t="s">
        <v>116</v>
      </c>
      <c r="EMH93" s="456" t="s">
        <v>116</v>
      </c>
      <c r="EMI93" s="456" t="s">
        <v>116</v>
      </c>
      <c r="EMJ93" s="456" t="s">
        <v>116</v>
      </c>
      <c r="EMK93" s="456" t="s">
        <v>116</v>
      </c>
      <c r="EML93" s="456" t="s">
        <v>116</v>
      </c>
      <c r="EMM93" s="456" t="s">
        <v>116</v>
      </c>
      <c r="EMN93" s="456" t="s">
        <v>116</v>
      </c>
      <c r="EMO93" s="456" t="s">
        <v>116</v>
      </c>
      <c r="EMP93" s="456" t="s">
        <v>116</v>
      </c>
      <c r="EMQ93" s="456" t="s">
        <v>116</v>
      </c>
      <c r="EMR93" s="456" t="s">
        <v>116</v>
      </c>
      <c r="EMS93" s="456" t="s">
        <v>116</v>
      </c>
      <c r="EMT93" s="456" t="s">
        <v>116</v>
      </c>
      <c r="EMU93" s="456" t="s">
        <v>116</v>
      </c>
      <c r="EMV93" s="456" t="s">
        <v>116</v>
      </c>
      <c r="EMW93" s="456" t="s">
        <v>116</v>
      </c>
      <c r="EMX93" s="456" t="s">
        <v>116</v>
      </c>
      <c r="EMY93" s="456" t="s">
        <v>116</v>
      </c>
      <c r="EMZ93" s="456" t="s">
        <v>116</v>
      </c>
      <c r="ENA93" s="456" t="s">
        <v>116</v>
      </c>
      <c r="ENB93" s="456" t="s">
        <v>116</v>
      </c>
      <c r="ENC93" s="456" t="s">
        <v>116</v>
      </c>
      <c r="END93" s="456" t="s">
        <v>116</v>
      </c>
      <c r="ENE93" s="456" t="s">
        <v>116</v>
      </c>
      <c r="ENF93" s="456" t="s">
        <v>116</v>
      </c>
      <c r="ENG93" s="456" t="s">
        <v>116</v>
      </c>
      <c r="ENH93" s="456" t="s">
        <v>116</v>
      </c>
      <c r="ENI93" s="456" t="s">
        <v>116</v>
      </c>
      <c r="ENJ93" s="456" t="s">
        <v>116</v>
      </c>
      <c r="ENK93" s="456" t="s">
        <v>116</v>
      </c>
      <c r="ENL93" s="456" t="s">
        <v>116</v>
      </c>
      <c r="ENM93" s="456" t="s">
        <v>116</v>
      </c>
      <c r="ENN93" s="456" t="s">
        <v>116</v>
      </c>
      <c r="ENO93" s="456" t="s">
        <v>116</v>
      </c>
      <c r="ENP93" s="456" t="s">
        <v>116</v>
      </c>
      <c r="ENQ93" s="456" t="s">
        <v>116</v>
      </c>
      <c r="ENR93" s="456" t="s">
        <v>116</v>
      </c>
      <c r="ENS93" s="456" t="s">
        <v>116</v>
      </c>
      <c r="ENT93" s="456" t="s">
        <v>116</v>
      </c>
      <c r="ENU93" s="456" t="s">
        <v>116</v>
      </c>
      <c r="ENV93" s="456" t="s">
        <v>116</v>
      </c>
      <c r="ENW93" s="456" t="s">
        <v>116</v>
      </c>
      <c r="ENX93" s="456" t="s">
        <v>116</v>
      </c>
      <c r="ENY93" s="456" t="s">
        <v>116</v>
      </c>
      <c r="ENZ93" s="456" t="s">
        <v>116</v>
      </c>
      <c r="EOA93" s="456" t="s">
        <v>116</v>
      </c>
      <c r="EOB93" s="456" t="s">
        <v>116</v>
      </c>
      <c r="EOC93" s="456" t="s">
        <v>116</v>
      </c>
      <c r="EOD93" s="456" t="s">
        <v>116</v>
      </c>
      <c r="EOE93" s="456" t="s">
        <v>116</v>
      </c>
      <c r="EOF93" s="456" t="s">
        <v>116</v>
      </c>
      <c r="EOG93" s="456" t="s">
        <v>116</v>
      </c>
      <c r="EOH93" s="456" t="s">
        <v>116</v>
      </c>
      <c r="EOI93" s="456" t="s">
        <v>116</v>
      </c>
      <c r="EOJ93" s="456" t="s">
        <v>116</v>
      </c>
      <c r="EOK93" s="456" t="s">
        <v>116</v>
      </c>
      <c r="EOL93" s="456" t="s">
        <v>116</v>
      </c>
      <c r="EOM93" s="456" t="s">
        <v>116</v>
      </c>
      <c r="EON93" s="456" t="s">
        <v>116</v>
      </c>
      <c r="EOO93" s="456" t="s">
        <v>116</v>
      </c>
      <c r="EOP93" s="456" t="s">
        <v>116</v>
      </c>
      <c r="EOQ93" s="456" t="s">
        <v>116</v>
      </c>
      <c r="EOR93" s="456" t="s">
        <v>116</v>
      </c>
      <c r="EOS93" s="456" t="s">
        <v>116</v>
      </c>
      <c r="EOT93" s="456" t="s">
        <v>116</v>
      </c>
      <c r="EOU93" s="456" t="s">
        <v>116</v>
      </c>
      <c r="EOV93" s="456" t="s">
        <v>116</v>
      </c>
      <c r="EOW93" s="456" t="s">
        <v>116</v>
      </c>
      <c r="EOX93" s="456" t="s">
        <v>116</v>
      </c>
      <c r="EOY93" s="456" t="s">
        <v>116</v>
      </c>
      <c r="EOZ93" s="456" t="s">
        <v>116</v>
      </c>
      <c r="EPA93" s="456" t="s">
        <v>116</v>
      </c>
      <c r="EPB93" s="456" t="s">
        <v>116</v>
      </c>
      <c r="EPC93" s="456" t="s">
        <v>116</v>
      </c>
      <c r="EPD93" s="456" t="s">
        <v>116</v>
      </c>
      <c r="EPE93" s="456" t="s">
        <v>116</v>
      </c>
      <c r="EPF93" s="456" t="s">
        <v>116</v>
      </c>
      <c r="EPG93" s="456" t="s">
        <v>116</v>
      </c>
      <c r="EPH93" s="456" t="s">
        <v>116</v>
      </c>
      <c r="EPI93" s="456" t="s">
        <v>116</v>
      </c>
      <c r="EPJ93" s="456" t="s">
        <v>116</v>
      </c>
      <c r="EPK93" s="456" t="s">
        <v>116</v>
      </c>
      <c r="EPL93" s="456" t="s">
        <v>116</v>
      </c>
      <c r="EPM93" s="456" t="s">
        <v>116</v>
      </c>
      <c r="EPN93" s="456" t="s">
        <v>116</v>
      </c>
      <c r="EPO93" s="456" t="s">
        <v>116</v>
      </c>
      <c r="EPP93" s="456" t="s">
        <v>116</v>
      </c>
      <c r="EPQ93" s="456" t="s">
        <v>116</v>
      </c>
      <c r="EPR93" s="456" t="s">
        <v>116</v>
      </c>
      <c r="EPS93" s="456" t="s">
        <v>116</v>
      </c>
      <c r="EPT93" s="456" t="s">
        <v>116</v>
      </c>
      <c r="EPU93" s="456" t="s">
        <v>116</v>
      </c>
      <c r="EPV93" s="456" t="s">
        <v>116</v>
      </c>
      <c r="EPW93" s="456" t="s">
        <v>116</v>
      </c>
      <c r="EPX93" s="456" t="s">
        <v>116</v>
      </c>
      <c r="EPY93" s="456" t="s">
        <v>116</v>
      </c>
      <c r="EPZ93" s="456" t="s">
        <v>116</v>
      </c>
      <c r="EQA93" s="456" t="s">
        <v>116</v>
      </c>
      <c r="EQB93" s="456" t="s">
        <v>116</v>
      </c>
      <c r="EQC93" s="456" t="s">
        <v>116</v>
      </c>
      <c r="EQD93" s="456" t="s">
        <v>116</v>
      </c>
      <c r="EQE93" s="456" t="s">
        <v>116</v>
      </c>
      <c r="EQF93" s="456" t="s">
        <v>116</v>
      </c>
      <c r="EQG93" s="456" t="s">
        <v>116</v>
      </c>
      <c r="EQH93" s="456" t="s">
        <v>116</v>
      </c>
      <c r="EQI93" s="456" t="s">
        <v>116</v>
      </c>
      <c r="EQJ93" s="456" t="s">
        <v>116</v>
      </c>
      <c r="EQK93" s="456" t="s">
        <v>116</v>
      </c>
      <c r="EQL93" s="456" t="s">
        <v>116</v>
      </c>
      <c r="EQM93" s="456" t="s">
        <v>116</v>
      </c>
      <c r="EQN93" s="456" t="s">
        <v>116</v>
      </c>
      <c r="EQO93" s="456" t="s">
        <v>116</v>
      </c>
      <c r="EQP93" s="456" t="s">
        <v>116</v>
      </c>
      <c r="EQQ93" s="456" t="s">
        <v>116</v>
      </c>
      <c r="EQR93" s="456" t="s">
        <v>116</v>
      </c>
      <c r="EQS93" s="456" t="s">
        <v>116</v>
      </c>
      <c r="EQT93" s="456" t="s">
        <v>116</v>
      </c>
      <c r="EQU93" s="456" t="s">
        <v>116</v>
      </c>
      <c r="EQV93" s="456" t="s">
        <v>116</v>
      </c>
      <c r="EQW93" s="456" t="s">
        <v>116</v>
      </c>
      <c r="EQX93" s="456" t="s">
        <v>116</v>
      </c>
      <c r="EQY93" s="456" t="s">
        <v>116</v>
      </c>
      <c r="EQZ93" s="456" t="s">
        <v>116</v>
      </c>
      <c r="ERA93" s="456" t="s">
        <v>116</v>
      </c>
      <c r="ERB93" s="456" t="s">
        <v>116</v>
      </c>
      <c r="ERC93" s="456" t="s">
        <v>116</v>
      </c>
      <c r="ERD93" s="456" t="s">
        <v>116</v>
      </c>
      <c r="ERE93" s="456" t="s">
        <v>116</v>
      </c>
      <c r="ERF93" s="456" t="s">
        <v>116</v>
      </c>
      <c r="ERG93" s="456" t="s">
        <v>116</v>
      </c>
      <c r="ERH93" s="456" t="s">
        <v>116</v>
      </c>
      <c r="ERI93" s="456" t="s">
        <v>116</v>
      </c>
      <c r="ERJ93" s="456" t="s">
        <v>116</v>
      </c>
      <c r="ERK93" s="456" t="s">
        <v>116</v>
      </c>
      <c r="ERL93" s="456" t="s">
        <v>116</v>
      </c>
      <c r="ERM93" s="456" t="s">
        <v>116</v>
      </c>
      <c r="ERN93" s="456" t="s">
        <v>116</v>
      </c>
      <c r="ERO93" s="456" t="s">
        <v>116</v>
      </c>
      <c r="ERP93" s="456" t="s">
        <v>116</v>
      </c>
      <c r="ERQ93" s="456" t="s">
        <v>116</v>
      </c>
      <c r="ERR93" s="456" t="s">
        <v>116</v>
      </c>
      <c r="ERS93" s="456" t="s">
        <v>116</v>
      </c>
      <c r="ERT93" s="456" t="s">
        <v>116</v>
      </c>
      <c r="ERU93" s="456" t="s">
        <v>116</v>
      </c>
      <c r="ERV93" s="456" t="s">
        <v>116</v>
      </c>
      <c r="ERW93" s="456" t="s">
        <v>116</v>
      </c>
      <c r="ERX93" s="456" t="s">
        <v>116</v>
      </c>
      <c r="ERY93" s="456" t="s">
        <v>116</v>
      </c>
      <c r="ERZ93" s="456" t="s">
        <v>116</v>
      </c>
      <c r="ESA93" s="456" t="s">
        <v>116</v>
      </c>
      <c r="ESB93" s="456" t="s">
        <v>116</v>
      </c>
      <c r="ESC93" s="456" t="s">
        <v>116</v>
      </c>
      <c r="ESD93" s="456" t="s">
        <v>116</v>
      </c>
      <c r="ESE93" s="456" t="s">
        <v>116</v>
      </c>
      <c r="ESF93" s="456" t="s">
        <v>116</v>
      </c>
      <c r="ESG93" s="456" t="s">
        <v>116</v>
      </c>
      <c r="ESH93" s="456" t="s">
        <v>116</v>
      </c>
      <c r="ESI93" s="456" t="s">
        <v>116</v>
      </c>
      <c r="ESJ93" s="456" t="s">
        <v>116</v>
      </c>
      <c r="ESK93" s="456" t="s">
        <v>116</v>
      </c>
      <c r="ESL93" s="456" t="s">
        <v>116</v>
      </c>
      <c r="ESM93" s="456" t="s">
        <v>116</v>
      </c>
      <c r="ESN93" s="456" t="s">
        <v>116</v>
      </c>
      <c r="ESO93" s="456" t="s">
        <v>116</v>
      </c>
      <c r="ESP93" s="456" t="s">
        <v>116</v>
      </c>
      <c r="ESQ93" s="456" t="s">
        <v>116</v>
      </c>
      <c r="ESR93" s="456" t="s">
        <v>116</v>
      </c>
      <c r="ESS93" s="456" t="s">
        <v>116</v>
      </c>
      <c r="EST93" s="456" t="s">
        <v>116</v>
      </c>
      <c r="ESU93" s="456" t="s">
        <v>116</v>
      </c>
      <c r="ESV93" s="456" t="s">
        <v>116</v>
      </c>
      <c r="ESW93" s="456" t="s">
        <v>116</v>
      </c>
      <c r="ESX93" s="456" t="s">
        <v>116</v>
      </c>
      <c r="ESY93" s="456" t="s">
        <v>116</v>
      </c>
      <c r="ESZ93" s="456" t="s">
        <v>116</v>
      </c>
      <c r="ETA93" s="456" t="s">
        <v>116</v>
      </c>
      <c r="ETB93" s="456" t="s">
        <v>116</v>
      </c>
      <c r="ETC93" s="456" t="s">
        <v>116</v>
      </c>
      <c r="ETD93" s="456" t="s">
        <v>116</v>
      </c>
      <c r="ETE93" s="456" t="s">
        <v>116</v>
      </c>
      <c r="ETF93" s="456" t="s">
        <v>116</v>
      </c>
      <c r="ETG93" s="456" t="s">
        <v>116</v>
      </c>
      <c r="ETH93" s="456" t="s">
        <v>116</v>
      </c>
      <c r="ETI93" s="456" t="s">
        <v>116</v>
      </c>
      <c r="ETJ93" s="456" t="s">
        <v>116</v>
      </c>
      <c r="ETK93" s="456" t="s">
        <v>116</v>
      </c>
      <c r="ETL93" s="456" t="s">
        <v>116</v>
      </c>
      <c r="ETM93" s="456" t="s">
        <v>116</v>
      </c>
      <c r="ETN93" s="456" t="s">
        <v>116</v>
      </c>
      <c r="ETO93" s="456" t="s">
        <v>116</v>
      </c>
      <c r="ETP93" s="456" t="s">
        <v>116</v>
      </c>
      <c r="ETQ93" s="456" t="s">
        <v>116</v>
      </c>
      <c r="ETR93" s="456" t="s">
        <v>116</v>
      </c>
      <c r="ETS93" s="456" t="s">
        <v>116</v>
      </c>
      <c r="ETT93" s="456" t="s">
        <v>116</v>
      </c>
      <c r="ETU93" s="456" t="s">
        <v>116</v>
      </c>
      <c r="ETV93" s="456" t="s">
        <v>116</v>
      </c>
      <c r="ETW93" s="456" t="s">
        <v>116</v>
      </c>
      <c r="ETX93" s="456" t="s">
        <v>116</v>
      </c>
      <c r="ETY93" s="456" t="s">
        <v>116</v>
      </c>
      <c r="ETZ93" s="456" t="s">
        <v>116</v>
      </c>
      <c r="EUA93" s="456" t="s">
        <v>116</v>
      </c>
      <c r="EUB93" s="456" t="s">
        <v>116</v>
      </c>
      <c r="EUC93" s="456" t="s">
        <v>116</v>
      </c>
      <c r="EUD93" s="456" t="s">
        <v>116</v>
      </c>
      <c r="EUE93" s="456" t="s">
        <v>116</v>
      </c>
      <c r="EUF93" s="456" t="s">
        <v>116</v>
      </c>
      <c r="EUG93" s="456" t="s">
        <v>116</v>
      </c>
      <c r="EUH93" s="456" t="s">
        <v>116</v>
      </c>
      <c r="EUI93" s="456" t="s">
        <v>116</v>
      </c>
      <c r="EUJ93" s="456" t="s">
        <v>116</v>
      </c>
      <c r="EUK93" s="456" t="s">
        <v>116</v>
      </c>
      <c r="EUL93" s="456" t="s">
        <v>116</v>
      </c>
      <c r="EUM93" s="456" t="s">
        <v>116</v>
      </c>
      <c r="EUN93" s="456" t="s">
        <v>116</v>
      </c>
      <c r="EUO93" s="456" t="s">
        <v>116</v>
      </c>
      <c r="EUP93" s="456" t="s">
        <v>116</v>
      </c>
      <c r="EUQ93" s="456" t="s">
        <v>116</v>
      </c>
      <c r="EUR93" s="456" t="s">
        <v>116</v>
      </c>
      <c r="EUS93" s="456" t="s">
        <v>116</v>
      </c>
      <c r="EUT93" s="456" t="s">
        <v>116</v>
      </c>
      <c r="EUU93" s="456" t="s">
        <v>116</v>
      </c>
      <c r="EUV93" s="456" t="s">
        <v>116</v>
      </c>
      <c r="EUW93" s="456" t="s">
        <v>116</v>
      </c>
      <c r="EUX93" s="456" t="s">
        <v>116</v>
      </c>
      <c r="EUY93" s="456" t="s">
        <v>116</v>
      </c>
      <c r="EUZ93" s="456" t="s">
        <v>116</v>
      </c>
      <c r="EVA93" s="456" t="s">
        <v>116</v>
      </c>
      <c r="EVB93" s="456" t="s">
        <v>116</v>
      </c>
      <c r="EVC93" s="456" t="s">
        <v>116</v>
      </c>
      <c r="EVD93" s="456" t="s">
        <v>116</v>
      </c>
      <c r="EVE93" s="456" t="s">
        <v>116</v>
      </c>
      <c r="EVF93" s="456" t="s">
        <v>116</v>
      </c>
      <c r="EVG93" s="456" t="s">
        <v>116</v>
      </c>
      <c r="EVH93" s="456" t="s">
        <v>116</v>
      </c>
      <c r="EVI93" s="456" t="s">
        <v>116</v>
      </c>
      <c r="EVJ93" s="456" t="s">
        <v>116</v>
      </c>
      <c r="EVK93" s="456" t="s">
        <v>116</v>
      </c>
      <c r="EVL93" s="456" t="s">
        <v>116</v>
      </c>
      <c r="EVM93" s="456" t="s">
        <v>116</v>
      </c>
      <c r="EVN93" s="456" t="s">
        <v>116</v>
      </c>
      <c r="EVO93" s="456" t="s">
        <v>116</v>
      </c>
      <c r="EVP93" s="456" t="s">
        <v>116</v>
      </c>
      <c r="EVQ93" s="456" t="s">
        <v>116</v>
      </c>
      <c r="EVR93" s="456" t="s">
        <v>116</v>
      </c>
      <c r="EVS93" s="456" t="s">
        <v>116</v>
      </c>
      <c r="EVT93" s="456" t="s">
        <v>116</v>
      </c>
      <c r="EVU93" s="456" t="s">
        <v>116</v>
      </c>
      <c r="EVV93" s="456" t="s">
        <v>116</v>
      </c>
      <c r="EVW93" s="456" t="s">
        <v>116</v>
      </c>
      <c r="EVX93" s="456" t="s">
        <v>116</v>
      </c>
      <c r="EVY93" s="456" t="s">
        <v>116</v>
      </c>
      <c r="EVZ93" s="456" t="s">
        <v>116</v>
      </c>
      <c r="EWA93" s="456" t="s">
        <v>116</v>
      </c>
      <c r="EWB93" s="456" t="s">
        <v>116</v>
      </c>
      <c r="EWC93" s="456" t="s">
        <v>116</v>
      </c>
      <c r="EWD93" s="456" t="s">
        <v>116</v>
      </c>
      <c r="EWE93" s="456" t="s">
        <v>116</v>
      </c>
      <c r="EWF93" s="456" t="s">
        <v>116</v>
      </c>
      <c r="EWG93" s="456" t="s">
        <v>116</v>
      </c>
      <c r="EWH93" s="456" t="s">
        <v>116</v>
      </c>
      <c r="EWI93" s="456" t="s">
        <v>116</v>
      </c>
      <c r="EWJ93" s="456" t="s">
        <v>116</v>
      </c>
      <c r="EWK93" s="456" t="s">
        <v>116</v>
      </c>
      <c r="EWL93" s="456" t="s">
        <v>116</v>
      </c>
      <c r="EWM93" s="456" t="s">
        <v>116</v>
      </c>
      <c r="EWN93" s="456" t="s">
        <v>116</v>
      </c>
      <c r="EWO93" s="456" t="s">
        <v>116</v>
      </c>
      <c r="EWP93" s="456" t="s">
        <v>116</v>
      </c>
      <c r="EWQ93" s="456" t="s">
        <v>116</v>
      </c>
      <c r="EWR93" s="456" t="s">
        <v>116</v>
      </c>
      <c r="EWS93" s="456" t="s">
        <v>116</v>
      </c>
      <c r="EWT93" s="456" t="s">
        <v>116</v>
      </c>
      <c r="EWU93" s="456" t="s">
        <v>116</v>
      </c>
      <c r="EWV93" s="456" t="s">
        <v>116</v>
      </c>
      <c r="EWW93" s="456" t="s">
        <v>116</v>
      </c>
      <c r="EWX93" s="456" t="s">
        <v>116</v>
      </c>
      <c r="EWY93" s="456" t="s">
        <v>116</v>
      </c>
      <c r="EWZ93" s="456" t="s">
        <v>116</v>
      </c>
      <c r="EXA93" s="456" t="s">
        <v>116</v>
      </c>
      <c r="EXB93" s="456" t="s">
        <v>116</v>
      </c>
      <c r="EXC93" s="456" t="s">
        <v>116</v>
      </c>
      <c r="EXD93" s="456" t="s">
        <v>116</v>
      </c>
      <c r="EXE93" s="456" t="s">
        <v>116</v>
      </c>
      <c r="EXF93" s="456" t="s">
        <v>116</v>
      </c>
      <c r="EXG93" s="456" t="s">
        <v>116</v>
      </c>
      <c r="EXH93" s="456" t="s">
        <v>116</v>
      </c>
      <c r="EXI93" s="456" t="s">
        <v>116</v>
      </c>
      <c r="EXJ93" s="456" t="s">
        <v>116</v>
      </c>
      <c r="EXK93" s="456" t="s">
        <v>116</v>
      </c>
      <c r="EXL93" s="456" t="s">
        <v>116</v>
      </c>
      <c r="EXM93" s="456" t="s">
        <v>116</v>
      </c>
      <c r="EXN93" s="456" t="s">
        <v>116</v>
      </c>
      <c r="EXO93" s="456" t="s">
        <v>116</v>
      </c>
      <c r="EXP93" s="456" t="s">
        <v>116</v>
      </c>
      <c r="EXQ93" s="456" t="s">
        <v>116</v>
      </c>
      <c r="EXR93" s="456" t="s">
        <v>116</v>
      </c>
      <c r="EXS93" s="456" t="s">
        <v>116</v>
      </c>
      <c r="EXT93" s="456" t="s">
        <v>116</v>
      </c>
      <c r="EXU93" s="456" t="s">
        <v>116</v>
      </c>
      <c r="EXV93" s="456" t="s">
        <v>116</v>
      </c>
      <c r="EXW93" s="456" t="s">
        <v>116</v>
      </c>
      <c r="EXX93" s="456" t="s">
        <v>116</v>
      </c>
      <c r="EXY93" s="456" t="s">
        <v>116</v>
      </c>
      <c r="EXZ93" s="456" t="s">
        <v>116</v>
      </c>
      <c r="EYA93" s="456" t="s">
        <v>116</v>
      </c>
      <c r="EYB93" s="456" t="s">
        <v>116</v>
      </c>
      <c r="EYC93" s="456" t="s">
        <v>116</v>
      </c>
      <c r="EYD93" s="456" t="s">
        <v>116</v>
      </c>
      <c r="EYE93" s="456" t="s">
        <v>116</v>
      </c>
      <c r="EYF93" s="456" t="s">
        <v>116</v>
      </c>
      <c r="EYG93" s="456" t="s">
        <v>116</v>
      </c>
      <c r="EYH93" s="456" t="s">
        <v>116</v>
      </c>
      <c r="EYI93" s="456" t="s">
        <v>116</v>
      </c>
      <c r="EYJ93" s="456" t="s">
        <v>116</v>
      </c>
      <c r="EYK93" s="456" t="s">
        <v>116</v>
      </c>
      <c r="EYL93" s="456" t="s">
        <v>116</v>
      </c>
      <c r="EYM93" s="456" t="s">
        <v>116</v>
      </c>
      <c r="EYN93" s="456" t="s">
        <v>116</v>
      </c>
      <c r="EYO93" s="456" t="s">
        <v>116</v>
      </c>
      <c r="EYP93" s="456" t="s">
        <v>116</v>
      </c>
      <c r="EYQ93" s="456" t="s">
        <v>116</v>
      </c>
      <c r="EYR93" s="456" t="s">
        <v>116</v>
      </c>
      <c r="EYS93" s="456" t="s">
        <v>116</v>
      </c>
      <c r="EYT93" s="456" t="s">
        <v>116</v>
      </c>
      <c r="EYU93" s="456" t="s">
        <v>116</v>
      </c>
      <c r="EYV93" s="456" t="s">
        <v>116</v>
      </c>
      <c r="EYW93" s="456" t="s">
        <v>116</v>
      </c>
      <c r="EYX93" s="456" t="s">
        <v>116</v>
      </c>
      <c r="EYY93" s="456" t="s">
        <v>116</v>
      </c>
      <c r="EYZ93" s="456" t="s">
        <v>116</v>
      </c>
      <c r="EZA93" s="456" t="s">
        <v>116</v>
      </c>
      <c r="EZB93" s="456" t="s">
        <v>116</v>
      </c>
      <c r="EZC93" s="456" t="s">
        <v>116</v>
      </c>
      <c r="EZD93" s="456" t="s">
        <v>116</v>
      </c>
      <c r="EZE93" s="456" t="s">
        <v>116</v>
      </c>
      <c r="EZF93" s="456" t="s">
        <v>116</v>
      </c>
      <c r="EZG93" s="456" t="s">
        <v>116</v>
      </c>
      <c r="EZH93" s="456" t="s">
        <v>116</v>
      </c>
      <c r="EZI93" s="456" t="s">
        <v>116</v>
      </c>
      <c r="EZJ93" s="456" t="s">
        <v>116</v>
      </c>
      <c r="EZK93" s="456" t="s">
        <v>116</v>
      </c>
      <c r="EZL93" s="456" t="s">
        <v>116</v>
      </c>
      <c r="EZM93" s="456" t="s">
        <v>116</v>
      </c>
      <c r="EZN93" s="456" t="s">
        <v>116</v>
      </c>
      <c r="EZO93" s="456" t="s">
        <v>116</v>
      </c>
      <c r="EZP93" s="456" t="s">
        <v>116</v>
      </c>
      <c r="EZQ93" s="456" t="s">
        <v>116</v>
      </c>
      <c r="EZR93" s="456" t="s">
        <v>116</v>
      </c>
      <c r="EZS93" s="456" t="s">
        <v>116</v>
      </c>
      <c r="EZT93" s="456" t="s">
        <v>116</v>
      </c>
      <c r="EZU93" s="456" t="s">
        <v>116</v>
      </c>
      <c r="EZV93" s="456" t="s">
        <v>116</v>
      </c>
      <c r="EZW93" s="456" t="s">
        <v>116</v>
      </c>
      <c r="EZX93" s="456" t="s">
        <v>116</v>
      </c>
      <c r="EZY93" s="456" t="s">
        <v>116</v>
      </c>
      <c r="EZZ93" s="456" t="s">
        <v>116</v>
      </c>
      <c r="FAA93" s="456" t="s">
        <v>116</v>
      </c>
      <c r="FAB93" s="456" t="s">
        <v>116</v>
      </c>
      <c r="FAC93" s="456" t="s">
        <v>116</v>
      </c>
      <c r="FAD93" s="456" t="s">
        <v>116</v>
      </c>
      <c r="FAE93" s="456" t="s">
        <v>116</v>
      </c>
      <c r="FAF93" s="456" t="s">
        <v>116</v>
      </c>
      <c r="FAG93" s="456" t="s">
        <v>116</v>
      </c>
      <c r="FAH93" s="456" t="s">
        <v>116</v>
      </c>
      <c r="FAI93" s="456" t="s">
        <v>116</v>
      </c>
      <c r="FAJ93" s="456" t="s">
        <v>116</v>
      </c>
      <c r="FAK93" s="456" t="s">
        <v>116</v>
      </c>
      <c r="FAL93" s="456" t="s">
        <v>116</v>
      </c>
      <c r="FAM93" s="456" t="s">
        <v>116</v>
      </c>
      <c r="FAN93" s="456" t="s">
        <v>116</v>
      </c>
      <c r="FAO93" s="456" t="s">
        <v>116</v>
      </c>
      <c r="FAP93" s="456" t="s">
        <v>116</v>
      </c>
      <c r="FAQ93" s="456" t="s">
        <v>116</v>
      </c>
      <c r="FAR93" s="456" t="s">
        <v>116</v>
      </c>
      <c r="FAS93" s="456" t="s">
        <v>116</v>
      </c>
      <c r="FAT93" s="456" t="s">
        <v>116</v>
      </c>
      <c r="FAU93" s="456" t="s">
        <v>116</v>
      </c>
      <c r="FAV93" s="456" t="s">
        <v>116</v>
      </c>
      <c r="FAW93" s="456" t="s">
        <v>116</v>
      </c>
      <c r="FAX93" s="456" t="s">
        <v>116</v>
      </c>
      <c r="FAY93" s="456" t="s">
        <v>116</v>
      </c>
      <c r="FAZ93" s="456" t="s">
        <v>116</v>
      </c>
      <c r="FBA93" s="456" t="s">
        <v>116</v>
      </c>
      <c r="FBB93" s="456" t="s">
        <v>116</v>
      </c>
      <c r="FBC93" s="456" t="s">
        <v>116</v>
      </c>
      <c r="FBD93" s="456" t="s">
        <v>116</v>
      </c>
      <c r="FBE93" s="456" t="s">
        <v>116</v>
      </c>
      <c r="FBF93" s="456" t="s">
        <v>116</v>
      </c>
      <c r="FBG93" s="456" t="s">
        <v>116</v>
      </c>
      <c r="FBH93" s="456" t="s">
        <v>116</v>
      </c>
      <c r="FBI93" s="456" t="s">
        <v>116</v>
      </c>
      <c r="FBJ93" s="456" t="s">
        <v>116</v>
      </c>
      <c r="FBK93" s="456" t="s">
        <v>116</v>
      </c>
      <c r="FBL93" s="456" t="s">
        <v>116</v>
      </c>
      <c r="FBM93" s="456" t="s">
        <v>116</v>
      </c>
      <c r="FBN93" s="456" t="s">
        <v>116</v>
      </c>
      <c r="FBO93" s="456" t="s">
        <v>116</v>
      </c>
      <c r="FBP93" s="456" t="s">
        <v>116</v>
      </c>
      <c r="FBQ93" s="456" t="s">
        <v>116</v>
      </c>
      <c r="FBR93" s="456" t="s">
        <v>116</v>
      </c>
      <c r="FBS93" s="456" t="s">
        <v>116</v>
      </c>
      <c r="FBT93" s="456" t="s">
        <v>116</v>
      </c>
      <c r="FBU93" s="456" t="s">
        <v>116</v>
      </c>
      <c r="FBV93" s="456" t="s">
        <v>116</v>
      </c>
      <c r="FBW93" s="456" t="s">
        <v>116</v>
      </c>
      <c r="FBX93" s="456" t="s">
        <v>116</v>
      </c>
      <c r="FBY93" s="456" t="s">
        <v>116</v>
      </c>
      <c r="FBZ93" s="456" t="s">
        <v>116</v>
      </c>
      <c r="FCA93" s="456" t="s">
        <v>116</v>
      </c>
      <c r="FCB93" s="456" t="s">
        <v>116</v>
      </c>
      <c r="FCC93" s="456" t="s">
        <v>116</v>
      </c>
      <c r="FCD93" s="456" t="s">
        <v>116</v>
      </c>
      <c r="FCE93" s="456" t="s">
        <v>116</v>
      </c>
      <c r="FCF93" s="456" t="s">
        <v>116</v>
      </c>
      <c r="FCG93" s="456" t="s">
        <v>116</v>
      </c>
      <c r="FCH93" s="456" t="s">
        <v>116</v>
      </c>
      <c r="FCI93" s="456" t="s">
        <v>116</v>
      </c>
      <c r="FCJ93" s="456" t="s">
        <v>116</v>
      </c>
      <c r="FCK93" s="456" t="s">
        <v>116</v>
      </c>
      <c r="FCL93" s="456" t="s">
        <v>116</v>
      </c>
      <c r="FCM93" s="456" t="s">
        <v>116</v>
      </c>
      <c r="FCN93" s="456" t="s">
        <v>116</v>
      </c>
      <c r="FCO93" s="456" t="s">
        <v>116</v>
      </c>
      <c r="FCP93" s="456" t="s">
        <v>116</v>
      </c>
      <c r="FCQ93" s="456" t="s">
        <v>116</v>
      </c>
      <c r="FCR93" s="456" t="s">
        <v>116</v>
      </c>
      <c r="FCS93" s="456" t="s">
        <v>116</v>
      </c>
      <c r="FCT93" s="456" t="s">
        <v>116</v>
      </c>
      <c r="FCU93" s="456" t="s">
        <v>116</v>
      </c>
      <c r="FCV93" s="456" t="s">
        <v>116</v>
      </c>
      <c r="FCW93" s="456" t="s">
        <v>116</v>
      </c>
      <c r="FCX93" s="456" t="s">
        <v>116</v>
      </c>
      <c r="FCY93" s="456" t="s">
        <v>116</v>
      </c>
      <c r="FCZ93" s="456" t="s">
        <v>116</v>
      </c>
      <c r="FDA93" s="456" t="s">
        <v>116</v>
      </c>
      <c r="FDB93" s="456" t="s">
        <v>116</v>
      </c>
      <c r="FDC93" s="456" t="s">
        <v>116</v>
      </c>
      <c r="FDD93" s="456" t="s">
        <v>116</v>
      </c>
      <c r="FDE93" s="456" t="s">
        <v>116</v>
      </c>
      <c r="FDF93" s="456" t="s">
        <v>116</v>
      </c>
      <c r="FDG93" s="456" t="s">
        <v>116</v>
      </c>
      <c r="FDH93" s="456" t="s">
        <v>116</v>
      </c>
      <c r="FDI93" s="456" t="s">
        <v>116</v>
      </c>
      <c r="FDJ93" s="456" t="s">
        <v>116</v>
      </c>
      <c r="FDK93" s="456" t="s">
        <v>116</v>
      </c>
      <c r="FDL93" s="456" t="s">
        <v>116</v>
      </c>
      <c r="FDM93" s="456" t="s">
        <v>116</v>
      </c>
      <c r="FDN93" s="456" t="s">
        <v>116</v>
      </c>
      <c r="FDO93" s="456" t="s">
        <v>116</v>
      </c>
      <c r="FDP93" s="456" t="s">
        <v>116</v>
      </c>
      <c r="FDQ93" s="456" t="s">
        <v>116</v>
      </c>
      <c r="FDR93" s="456" t="s">
        <v>116</v>
      </c>
      <c r="FDS93" s="456" t="s">
        <v>116</v>
      </c>
      <c r="FDT93" s="456" t="s">
        <v>116</v>
      </c>
      <c r="FDU93" s="456" t="s">
        <v>116</v>
      </c>
      <c r="FDV93" s="456" t="s">
        <v>116</v>
      </c>
      <c r="FDW93" s="456" t="s">
        <v>116</v>
      </c>
      <c r="FDX93" s="456" t="s">
        <v>116</v>
      </c>
      <c r="FDY93" s="456" t="s">
        <v>116</v>
      </c>
      <c r="FDZ93" s="456" t="s">
        <v>116</v>
      </c>
      <c r="FEA93" s="456" t="s">
        <v>116</v>
      </c>
      <c r="FEB93" s="456" t="s">
        <v>116</v>
      </c>
      <c r="FEC93" s="456" t="s">
        <v>116</v>
      </c>
      <c r="FED93" s="456" t="s">
        <v>116</v>
      </c>
      <c r="FEE93" s="456" t="s">
        <v>116</v>
      </c>
      <c r="FEF93" s="456" t="s">
        <v>116</v>
      </c>
      <c r="FEG93" s="456" t="s">
        <v>116</v>
      </c>
      <c r="FEH93" s="456" t="s">
        <v>116</v>
      </c>
      <c r="FEI93" s="456" t="s">
        <v>116</v>
      </c>
      <c r="FEJ93" s="456" t="s">
        <v>116</v>
      </c>
      <c r="FEK93" s="456" t="s">
        <v>116</v>
      </c>
      <c r="FEL93" s="456" t="s">
        <v>116</v>
      </c>
      <c r="FEM93" s="456" t="s">
        <v>116</v>
      </c>
      <c r="FEN93" s="456" t="s">
        <v>116</v>
      </c>
      <c r="FEO93" s="456" t="s">
        <v>116</v>
      </c>
      <c r="FEP93" s="456" t="s">
        <v>116</v>
      </c>
      <c r="FEQ93" s="456" t="s">
        <v>116</v>
      </c>
      <c r="FER93" s="456" t="s">
        <v>116</v>
      </c>
      <c r="FES93" s="456" t="s">
        <v>116</v>
      </c>
      <c r="FET93" s="456" t="s">
        <v>116</v>
      </c>
      <c r="FEU93" s="456" t="s">
        <v>116</v>
      </c>
      <c r="FEV93" s="456" t="s">
        <v>116</v>
      </c>
      <c r="FEW93" s="456" t="s">
        <v>116</v>
      </c>
      <c r="FEX93" s="456" t="s">
        <v>116</v>
      </c>
      <c r="FEY93" s="456" t="s">
        <v>116</v>
      </c>
      <c r="FEZ93" s="456" t="s">
        <v>116</v>
      </c>
      <c r="FFA93" s="456" t="s">
        <v>116</v>
      </c>
      <c r="FFB93" s="456" t="s">
        <v>116</v>
      </c>
      <c r="FFC93" s="456" t="s">
        <v>116</v>
      </c>
      <c r="FFD93" s="456" t="s">
        <v>116</v>
      </c>
      <c r="FFE93" s="456" t="s">
        <v>116</v>
      </c>
      <c r="FFF93" s="456" t="s">
        <v>116</v>
      </c>
      <c r="FFG93" s="456" t="s">
        <v>116</v>
      </c>
      <c r="FFH93" s="456" t="s">
        <v>116</v>
      </c>
      <c r="FFI93" s="456" t="s">
        <v>116</v>
      </c>
      <c r="FFJ93" s="456" t="s">
        <v>116</v>
      </c>
      <c r="FFK93" s="456" t="s">
        <v>116</v>
      </c>
      <c r="FFL93" s="456" t="s">
        <v>116</v>
      </c>
      <c r="FFM93" s="456" t="s">
        <v>116</v>
      </c>
      <c r="FFN93" s="456" t="s">
        <v>116</v>
      </c>
      <c r="FFO93" s="456" t="s">
        <v>116</v>
      </c>
      <c r="FFP93" s="456" t="s">
        <v>116</v>
      </c>
      <c r="FFQ93" s="456" t="s">
        <v>116</v>
      </c>
      <c r="FFR93" s="456" t="s">
        <v>116</v>
      </c>
      <c r="FFS93" s="456" t="s">
        <v>116</v>
      </c>
      <c r="FFT93" s="456" t="s">
        <v>116</v>
      </c>
      <c r="FFU93" s="456" t="s">
        <v>116</v>
      </c>
      <c r="FFV93" s="456" t="s">
        <v>116</v>
      </c>
      <c r="FFW93" s="456" t="s">
        <v>116</v>
      </c>
      <c r="FFX93" s="456" t="s">
        <v>116</v>
      </c>
      <c r="FFY93" s="456" t="s">
        <v>116</v>
      </c>
      <c r="FFZ93" s="456" t="s">
        <v>116</v>
      </c>
      <c r="FGA93" s="456" t="s">
        <v>116</v>
      </c>
      <c r="FGB93" s="456" t="s">
        <v>116</v>
      </c>
      <c r="FGC93" s="456" t="s">
        <v>116</v>
      </c>
      <c r="FGD93" s="456" t="s">
        <v>116</v>
      </c>
      <c r="FGE93" s="456" t="s">
        <v>116</v>
      </c>
      <c r="FGF93" s="456" t="s">
        <v>116</v>
      </c>
      <c r="FGG93" s="456" t="s">
        <v>116</v>
      </c>
      <c r="FGH93" s="456" t="s">
        <v>116</v>
      </c>
      <c r="FGI93" s="456" t="s">
        <v>116</v>
      </c>
      <c r="FGJ93" s="456" t="s">
        <v>116</v>
      </c>
      <c r="FGK93" s="456" t="s">
        <v>116</v>
      </c>
      <c r="FGL93" s="456" t="s">
        <v>116</v>
      </c>
      <c r="FGM93" s="456" t="s">
        <v>116</v>
      </c>
      <c r="FGN93" s="456" t="s">
        <v>116</v>
      </c>
      <c r="FGO93" s="456" t="s">
        <v>116</v>
      </c>
      <c r="FGP93" s="456" t="s">
        <v>116</v>
      </c>
      <c r="FGQ93" s="456" t="s">
        <v>116</v>
      </c>
      <c r="FGR93" s="456" t="s">
        <v>116</v>
      </c>
      <c r="FGS93" s="456" t="s">
        <v>116</v>
      </c>
      <c r="FGT93" s="456" t="s">
        <v>116</v>
      </c>
      <c r="FGU93" s="456" t="s">
        <v>116</v>
      </c>
      <c r="FGV93" s="456" t="s">
        <v>116</v>
      </c>
      <c r="FGW93" s="456" t="s">
        <v>116</v>
      </c>
      <c r="FGX93" s="456" t="s">
        <v>116</v>
      </c>
      <c r="FGY93" s="456" t="s">
        <v>116</v>
      </c>
      <c r="FGZ93" s="456" t="s">
        <v>116</v>
      </c>
      <c r="FHA93" s="456" t="s">
        <v>116</v>
      </c>
      <c r="FHB93" s="456" t="s">
        <v>116</v>
      </c>
      <c r="FHC93" s="456" t="s">
        <v>116</v>
      </c>
      <c r="FHD93" s="456" t="s">
        <v>116</v>
      </c>
      <c r="FHE93" s="456" t="s">
        <v>116</v>
      </c>
      <c r="FHF93" s="456" t="s">
        <v>116</v>
      </c>
      <c r="FHG93" s="456" t="s">
        <v>116</v>
      </c>
      <c r="FHH93" s="456" t="s">
        <v>116</v>
      </c>
      <c r="FHI93" s="456" t="s">
        <v>116</v>
      </c>
      <c r="FHJ93" s="456" t="s">
        <v>116</v>
      </c>
      <c r="FHK93" s="456" t="s">
        <v>116</v>
      </c>
      <c r="FHL93" s="456" t="s">
        <v>116</v>
      </c>
      <c r="FHM93" s="456" t="s">
        <v>116</v>
      </c>
      <c r="FHN93" s="456" t="s">
        <v>116</v>
      </c>
      <c r="FHO93" s="456" t="s">
        <v>116</v>
      </c>
      <c r="FHP93" s="456" t="s">
        <v>116</v>
      </c>
      <c r="FHQ93" s="456" t="s">
        <v>116</v>
      </c>
      <c r="FHR93" s="456" t="s">
        <v>116</v>
      </c>
      <c r="FHS93" s="456" t="s">
        <v>116</v>
      </c>
      <c r="FHT93" s="456" t="s">
        <v>116</v>
      </c>
      <c r="FHU93" s="456" t="s">
        <v>116</v>
      </c>
      <c r="FHV93" s="456" t="s">
        <v>116</v>
      </c>
      <c r="FHW93" s="456" t="s">
        <v>116</v>
      </c>
      <c r="FHX93" s="456" t="s">
        <v>116</v>
      </c>
      <c r="FHY93" s="456" t="s">
        <v>116</v>
      </c>
      <c r="FHZ93" s="456" t="s">
        <v>116</v>
      </c>
      <c r="FIA93" s="456" t="s">
        <v>116</v>
      </c>
      <c r="FIB93" s="456" t="s">
        <v>116</v>
      </c>
      <c r="FIC93" s="456" t="s">
        <v>116</v>
      </c>
      <c r="FID93" s="456" t="s">
        <v>116</v>
      </c>
      <c r="FIE93" s="456" t="s">
        <v>116</v>
      </c>
      <c r="FIF93" s="456" t="s">
        <v>116</v>
      </c>
      <c r="FIG93" s="456" t="s">
        <v>116</v>
      </c>
      <c r="FIH93" s="456" t="s">
        <v>116</v>
      </c>
      <c r="FII93" s="456" t="s">
        <v>116</v>
      </c>
      <c r="FIJ93" s="456" t="s">
        <v>116</v>
      </c>
      <c r="FIK93" s="456" t="s">
        <v>116</v>
      </c>
      <c r="FIL93" s="456" t="s">
        <v>116</v>
      </c>
      <c r="FIM93" s="456" t="s">
        <v>116</v>
      </c>
      <c r="FIN93" s="456" t="s">
        <v>116</v>
      </c>
      <c r="FIO93" s="456" t="s">
        <v>116</v>
      </c>
      <c r="FIP93" s="456" t="s">
        <v>116</v>
      </c>
      <c r="FIQ93" s="456" t="s">
        <v>116</v>
      </c>
      <c r="FIR93" s="456" t="s">
        <v>116</v>
      </c>
      <c r="FIS93" s="456" t="s">
        <v>116</v>
      </c>
      <c r="FIT93" s="456" t="s">
        <v>116</v>
      </c>
      <c r="FIU93" s="456" t="s">
        <v>116</v>
      </c>
      <c r="FIV93" s="456" t="s">
        <v>116</v>
      </c>
      <c r="FIW93" s="456" t="s">
        <v>116</v>
      </c>
      <c r="FIX93" s="456" t="s">
        <v>116</v>
      </c>
      <c r="FIY93" s="456" t="s">
        <v>116</v>
      </c>
      <c r="FIZ93" s="456" t="s">
        <v>116</v>
      </c>
      <c r="FJA93" s="456" t="s">
        <v>116</v>
      </c>
      <c r="FJB93" s="456" t="s">
        <v>116</v>
      </c>
      <c r="FJC93" s="456" t="s">
        <v>116</v>
      </c>
      <c r="FJD93" s="456" t="s">
        <v>116</v>
      </c>
      <c r="FJE93" s="456" t="s">
        <v>116</v>
      </c>
      <c r="FJF93" s="456" t="s">
        <v>116</v>
      </c>
      <c r="FJG93" s="456" t="s">
        <v>116</v>
      </c>
      <c r="FJH93" s="456" t="s">
        <v>116</v>
      </c>
      <c r="FJI93" s="456" t="s">
        <v>116</v>
      </c>
      <c r="FJJ93" s="456" t="s">
        <v>116</v>
      </c>
      <c r="FJK93" s="456" t="s">
        <v>116</v>
      </c>
      <c r="FJL93" s="456" t="s">
        <v>116</v>
      </c>
      <c r="FJM93" s="456" t="s">
        <v>116</v>
      </c>
      <c r="FJN93" s="456" t="s">
        <v>116</v>
      </c>
      <c r="FJO93" s="456" t="s">
        <v>116</v>
      </c>
      <c r="FJP93" s="456" t="s">
        <v>116</v>
      </c>
      <c r="FJQ93" s="456" t="s">
        <v>116</v>
      </c>
      <c r="FJR93" s="456" t="s">
        <v>116</v>
      </c>
      <c r="FJS93" s="456" t="s">
        <v>116</v>
      </c>
      <c r="FJT93" s="456" t="s">
        <v>116</v>
      </c>
      <c r="FJU93" s="456" t="s">
        <v>116</v>
      </c>
      <c r="FJV93" s="456" t="s">
        <v>116</v>
      </c>
      <c r="FJW93" s="456" t="s">
        <v>116</v>
      </c>
      <c r="FJX93" s="456" t="s">
        <v>116</v>
      </c>
      <c r="FJY93" s="456" t="s">
        <v>116</v>
      </c>
      <c r="FJZ93" s="456" t="s">
        <v>116</v>
      </c>
      <c r="FKA93" s="456" t="s">
        <v>116</v>
      </c>
      <c r="FKB93" s="456" t="s">
        <v>116</v>
      </c>
      <c r="FKC93" s="456" t="s">
        <v>116</v>
      </c>
      <c r="FKD93" s="456" t="s">
        <v>116</v>
      </c>
      <c r="FKE93" s="456" t="s">
        <v>116</v>
      </c>
      <c r="FKF93" s="456" t="s">
        <v>116</v>
      </c>
      <c r="FKG93" s="456" t="s">
        <v>116</v>
      </c>
      <c r="FKH93" s="456" t="s">
        <v>116</v>
      </c>
      <c r="FKI93" s="456" t="s">
        <v>116</v>
      </c>
      <c r="FKJ93" s="456" t="s">
        <v>116</v>
      </c>
      <c r="FKK93" s="456" t="s">
        <v>116</v>
      </c>
      <c r="FKL93" s="456" t="s">
        <v>116</v>
      </c>
      <c r="FKM93" s="456" t="s">
        <v>116</v>
      </c>
      <c r="FKN93" s="456" t="s">
        <v>116</v>
      </c>
      <c r="FKO93" s="456" t="s">
        <v>116</v>
      </c>
      <c r="FKP93" s="456" t="s">
        <v>116</v>
      </c>
      <c r="FKQ93" s="456" t="s">
        <v>116</v>
      </c>
      <c r="FKR93" s="456" t="s">
        <v>116</v>
      </c>
      <c r="FKS93" s="456" t="s">
        <v>116</v>
      </c>
      <c r="FKT93" s="456" t="s">
        <v>116</v>
      </c>
      <c r="FKU93" s="456" t="s">
        <v>116</v>
      </c>
      <c r="FKV93" s="456" t="s">
        <v>116</v>
      </c>
      <c r="FKW93" s="456" t="s">
        <v>116</v>
      </c>
      <c r="FKX93" s="456" t="s">
        <v>116</v>
      </c>
      <c r="FKY93" s="456" t="s">
        <v>116</v>
      </c>
      <c r="FKZ93" s="456" t="s">
        <v>116</v>
      </c>
      <c r="FLA93" s="456" t="s">
        <v>116</v>
      </c>
      <c r="FLB93" s="456" t="s">
        <v>116</v>
      </c>
      <c r="FLC93" s="456" t="s">
        <v>116</v>
      </c>
      <c r="FLD93" s="456" t="s">
        <v>116</v>
      </c>
      <c r="FLE93" s="456" t="s">
        <v>116</v>
      </c>
      <c r="FLF93" s="456" t="s">
        <v>116</v>
      </c>
      <c r="FLG93" s="456" t="s">
        <v>116</v>
      </c>
      <c r="FLH93" s="456" t="s">
        <v>116</v>
      </c>
      <c r="FLI93" s="456" t="s">
        <v>116</v>
      </c>
      <c r="FLJ93" s="456" t="s">
        <v>116</v>
      </c>
      <c r="FLK93" s="456" t="s">
        <v>116</v>
      </c>
      <c r="FLL93" s="456" t="s">
        <v>116</v>
      </c>
      <c r="FLM93" s="456" t="s">
        <v>116</v>
      </c>
      <c r="FLN93" s="456" t="s">
        <v>116</v>
      </c>
      <c r="FLO93" s="456" t="s">
        <v>116</v>
      </c>
      <c r="FLP93" s="456" t="s">
        <v>116</v>
      </c>
      <c r="FLQ93" s="456" t="s">
        <v>116</v>
      </c>
      <c r="FLR93" s="456" t="s">
        <v>116</v>
      </c>
      <c r="FLS93" s="456" t="s">
        <v>116</v>
      </c>
      <c r="FLT93" s="456" t="s">
        <v>116</v>
      </c>
      <c r="FLU93" s="456" t="s">
        <v>116</v>
      </c>
      <c r="FLV93" s="456" t="s">
        <v>116</v>
      </c>
      <c r="FLW93" s="456" t="s">
        <v>116</v>
      </c>
      <c r="FLX93" s="456" t="s">
        <v>116</v>
      </c>
      <c r="FLY93" s="456" t="s">
        <v>116</v>
      </c>
      <c r="FLZ93" s="456" t="s">
        <v>116</v>
      </c>
      <c r="FMA93" s="456" t="s">
        <v>116</v>
      </c>
      <c r="FMB93" s="456" t="s">
        <v>116</v>
      </c>
      <c r="FMC93" s="456" t="s">
        <v>116</v>
      </c>
      <c r="FMD93" s="456" t="s">
        <v>116</v>
      </c>
      <c r="FME93" s="456" t="s">
        <v>116</v>
      </c>
      <c r="FMF93" s="456" t="s">
        <v>116</v>
      </c>
      <c r="FMG93" s="456" t="s">
        <v>116</v>
      </c>
      <c r="FMH93" s="456" t="s">
        <v>116</v>
      </c>
      <c r="FMI93" s="456" t="s">
        <v>116</v>
      </c>
      <c r="FMJ93" s="456" t="s">
        <v>116</v>
      </c>
      <c r="FMK93" s="456" t="s">
        <v>116</v>
      </c>
      <c r="FML93" s="456" t="s">
        <v>116</v>
      </c>
      <c r="FMM93" s="456" t="s">
        <v>116</v>
      </c>
      <c r="FMN93" s="456" t="s">
        <v>116</v>
      </c>
      <c r="FMO93" s="456" t="s">
        <v>116</v>
      </c>
      <c r="FMP93" s="456" t="s">
        <v>116</v>
      </c>
      <c r="FMQ93" s="456" t="s">
        <v>116</v>
      </c>
      <c r="FMR93" s="456" t="s">
        <v>116</v>
      </c>
      <c r="FMS93" s="456" t="s">
        <v>116</v>
      </c>
      <c r="FMT93" s="456" t="s">
        <v>116</v>
      </c>
      <c r="FMU93" s="456" t="s">
        <v>116</v>
      </c>
      <c r="FMV93" s="456" t="s">
        <v>116</v>
      </c>
      <c r="FMW93" s="456" t="s">
        <v>116</v>
      </c>
      <c r="FMX93" s="456" t="s">
        <v>116</v>
      </c>
      <c r="FMY93" s="456" t="s">
        <v>116</v>
      </c>
      <c r="FMZ93" s="456" t="s">
        <v>116</v>
      </c>
      <c r="FNA93" s="456" t="s">
        <v>116</v>
      </c>
      <c r="FNB93" s="456" t="s">
        <v>116</v>
      </c>
      <c r="FNC93" s="456" t="s">
        <v>116</v>
      </c>
      <c r="FND93" s="456" t="s">
        <v>116</v>
      </c>
      <c r="FNE93" s="456" t="s">
        <v>116</v>
      </c>
      <c r="FNF93" s="456" t="s">
        <v>116</v>
      </c>
      <c r="FNG93" s="456" t="s">
        <v>116</v>
      </c>
      <c r="FNH93" s="456" t="s">
        <v>116</v>
      </c>
      <c r="FNI93" s="456" t="s">
        <v>116</v>
      </c>
      <c r="FNJ93" s="456" t="s">
        <v>116</v>
      </c>
      <c r="FNK93" s="456" t="s">
        <v>116</v>
      </c>
      <c r="FNL93" s="456" t="s">
        <v>116</v>
      </c>
      <c r="FNM93" s="456" t="s">
        <v>116</v>
      </c>
      <c r="FNN93" s="456" t="s">
        <v>116</v>
      </c>
      <c r="FNO93" s="456" t="s">
        <v>116</v>
      </c>
      <c r="FNP93" s="456" t="s">
        <v>116</v>
      </c>
      <c r="FNQ93" s="456" t="s">
        <v>116</v>
      </c>
      <c r="FNR93" s="456" t="s">
        <v>116</v>
      </c>
      <c r="FNS93" s="456" t="s">
        <v>116</v>
      </c>
      <c r="FNT93" s="456" t="s">
        <v>116</v>
      </c>
      <c r="FNU93" s="456" t="s">
        <v>116</v>
      </c>
      <c r="FNV93" s="456" t="s">
        <v>116</v>
      </c>
      <c r="FNW93" s="456" t="s">
        <v>116</v>
      </c>
      <c r="FNX93" s="456" t="s">
        <v>116</v>
      </c>
      <c r="FNY93" s="456" t="s">
        <v>116</v>
      </c>
      <c r="FNZ93" s="456" t="s">
        <v>116</v>
      </c>
      <c r="FOA93" s="456" t="s">
        <v>116</v>
      </c>
      <c r="FOB93" s="456" t="s">
        <v>116</v>
      </c>
      <c r="FOC93" s="456" t="s">
        <v>116</v>
      </c>
      <c r="FOD93" s="456" t="s">
        <v>116</v>
      </c>
      <c r="FOE93" s="456" t="s">
        <v>116</v>
      </c>
      <c r="FOF93" s="456" t="s">
        <v>116</v>
      </c>
      <c r="FOG93" s="456" t="s">
        <v>116</v>
      </c>
      <c r="FOH93" s="456" t="s">
        <v>116</v>
      </c>
      <c r="FOI93" s="456" t="s">
        <v>116</v>
      </c>
      <c r="FOJ93" s="456" t="s">
        <v>116</v>
      </c>
      <c r="FOK93" s="456" t="s">
        <v>116</v>
      </c>
      <c r="FOL93" s="456" t="s">
        <v>116</v>
      </c>
      <c r="FOM93" s="456" t="s">
        <v>116</v>
      </c>
      <c r="FON93" s="456" t="s">
        <v>116</v>
      </c>
      <c r="FOO93" s="456" t="s">
        <v>116</v>
      </c>
      <c r="FOP93" s="456" t="s">
        <v>116</v>
      </c>
      <c r="FOQ93" s="456" t="s">
        <v>116</v>
      </c>
      <c r="FOR93" s="456" t="s">
        <v>116</v>
      </c>
      <c r="FOS93" s="456" t="s">
        <v>116</v>
      </c>
      <c r="FOT93" s="456" t="s">
        <v>116</v>
      </c>
      <c r="FOU93" s="456" t="s">
        <v>116</v>
      </c>
      <c r="FOV93" s="456" t="s">
        <v>116</v>
      </c>
      <c r="FOW93" s="456" t="s">
        <v>116</v>
      </c>
      <c r="FOX93" s="456" t="s">
        <v>116</v>
      </c>
      <c r="FOY93" s="456" t="s">
        <v>116</v>
      </c>
      <c r="FOZ93" s="456" t="s">
        <v>116</v>
      </c>
      <c r="FPA93" s="456" t="s">
        <v>116</v>
      </c>
      <c r="FPB93" s="456" t="s">
        <v>116</v>
      </c>
      <c r="FPC93" s="456" t="s">
        <v>116</v>
      </c>
      <c r="FPD93" s="456" t="s">
        <v>116</v>
      </c>
      <c r="FPE93" s="456" t="s">
        <v>116</v>
      </c>
      <c r="FPF93" s="456" t="s">
        <v>116</v>
      </c>
      <c r="FPG93" s="456" t="s">
        <v>116</v>
      </c>
      <c r="FPH93" s="456" t="s">
        <v>116</v>
      </c>
      <c r="FPI93" s="456" t="s">
        <v>116</v>
      </c>
      <c r="FPJ93" s="456" t="s">
        <v>116</v>
      </c>
      <c r="FPK93" s="456" t="s">
        <v>116</v>
      </c>
      <c r="FPL93" s="456" t="s">
        <v>116</v>
      </c>
      <c r="FPM93" s="456" t="s">
        <v>116</v>
      </c>
      <c r="FPN93" s="456" t="s">
        <v>116</v>
      </c>
      <c r="FPO93" s="456" t="s">
        <v>116</v>
      </c>
      <c r="FPP93" s="456" t="s">
        <v>116</v>
      </c>
      <c r="FPQ93" s="456" t="s">
        <v>116</v>
      </c>
      <c r="FPR93" s="456" t="s">
        <v>116</v>
      </c>
      <c r="FPS93" s="456" t="s">
        <v>116</v>
      </c>
      <c r="FPT93" s="456" t="s">
        <v>116</v>
      </c>
      <c r="FPU93" s="456" t="s">
        <v>116</v>
      </c>
      <c r="FPV93" s="456" t="s">
        <v>116</v>
      </c>
      <c r="FPW93" s="456" t="s">
        <v>116</v>
      </c>
      <c r="FPX93" s="456" t="s">
        <v>116</v>
      </c>
      <c r="FPY93" s="456" t="s">
        <v>116</v>
      </c>
      <c r="FPZ93" s="456" t="s">
        <v>116</v>
      </c>
      <c r="FQA93" s="456" t="s">
        <v>116</v>
      </c>
      <c r="FQB93" s="456" t="s">
        <v>116</v>
      </c>
      <c r="FQC93" s="456" t="s">
        <v>116</v>
      </c>
      <c r="FQD93" s="456" t="s">
        <v>116</v>
      </c>
      <c r="FQE93" s="456" t="s">
        <v>116</v>
      </c>
      <c r="FQF93" s="456" t="s">
        <v>116</v>
      </c>
      <c r="FQG93" s="456" t="s">
        <v>116</v>
      </c>
      <c r="FQH93" s="456" t="s">
        <v>116</v>
      </c>
      <c r="FQI93" s="456" t="s">
        <v>116</v>
      </c>
      <c r="FQJ93" s="456" t="s">
        <v>116</v>
      </c>
      <c r="FQK93" s="456" t="s">
        <v>116</v>
      </c>
      <c r="FQL93" s="456" t="s">
        <v>116</v>
      </c>
      <c r="FQM93" s="456" t="s">
        <v>116</v>
      </c>
      <c r="FQN93" s="456" t="s">
        <v>116</v>
      </c>
      <c r="FQO93" s="456" t="s">
        <v>116</v>
      </c>
      <c r="FQP93" s="456" t="s">
        <v>116</v>
      </c>
      <c r="FQQ93" s="456" t="s">
        <v>116</v>
      </c>
      <c r="FQR93" s="456" t="s">
        <v>116</v>
      </c>
      <c r="FQS93" s="456" t="s">
        <v>116</v>
      </c>
      <c r="FQT93" s="456" t="s">
        <v>116</v>
      </c>
      <c r="FQU93" s="456" t="s">
        <v>116</v>
      </c>
      <c r="FQV93" s="456" t="s">
        <v>116</v>
      </c>
      <c r="FQW93" s="456" t="s">
        <v>116</v>
      </c>
      <c r="FQX93" s="456" t="s">
        <v>116</v>
      </c>
      <c r="FQY93" s="456" t="s">
        <v>116</v>
      </c>
      <c r="FQZ93" s="456" t="s">
        <v>116</v>
      </c>
      <c r="FRA93" s="456" t="s">
        <v>116</v>
      </c>
      <c r="FRB93" s="456" t="s">
        <v>116</v>
      </c>
      <c r="FRC93" s="456" t="s">
        <v>116</v>
      </c>
      <c r="FRD93" s="456" t="s">
        <v>116</v>
      </c>
      <c r="FRE93" s="456" t="s">
        <v>116</v>
      </c>
      <c r="FRF93" s="456" t="s">
        <v>116</v>
      </c>
      <c r="FRG93" s="456" t="s">
        <v>116</v>
      </c>
      <c r="FRH93" s="456" t="s">
        <v>116</v>
      </c>
      <c r="FRI93" s="456" t="s">
        <v>116</v>
      </c>
      <c r="FRJ93" s="456" t="s">
        <v>116</v>
      </c>
      <c r="FRK93" s="456" t="s">
        <v>116</v>
      </c>
      <c r="FRL93" s="456" t="s">
        <v>116</v>
      </c>
      <c r="FRM93" s="456" t="s">
        <v>116</v>
      </c>
      <c r="FRN93" s="456" t="s">
        <v>116</v>
      </c>
      <c r="FRO93" s="456" t="s">
        <v>116</v>
      </c>
      <c r="FRP93" s="456" t="s">
        <v>116</v>
      </c>
      <c r="FRQ93" s="456" t="s">
        <v>116</v>
      </c>
      <c r="FRR93" s="456" t="s">
        <v>116</v>
      </c>
      <c r="FRS93" s="456" t="s">
        <v>116</v>
      </c>
      <c r="FRT93" s="456" t="s">
        <v>116</v>
      </c>
      <c r="FRU93" s="456" t="s">
        <v>116</v>
      </c>
      <c r="FRV93" s="456" t="s">
        <v>116</v>
      </c>
      <c r="FRW93" s="456" t="s">
        <v>116</v>
      </c>
      <c r="FRX93" s="456" t="s">
        <v>116</v>
      </c>
      <c r="FRY93" s="456" t="s">
        <v>116</v>
      </c>
      <c r="FRZ93" s="456" t="s">
        <v>116</v>
      </c>
      <c r="FSA93" s="456" t="s">
        <v>116</v>
      </c>
      <c r="FSB93" s="456" t="s">
        <v>116</v>
      </c>
      <c r="FSC93" s="456" t="s">
        <v>116</v>
      </c>
      <c r="FSD93" s="456" t="s">
        <v>116</v>
      </c>
      <c r="FSE93" s="456" t="s">
        <v>116</v>
      </c>
      <c r="FSF93" s="456" t="s">
        <v>116</v>
      </c>
      <c r="FSG93" s="456" t="s">
        <v>116</v>
      </c>
      <c r="FSH93" s="456" t="s">
        <v>116</v>
      </c>
      <c r="FSI93" s="456" t="s">
        <v>116</v>
      </c>
      <c r="FSJ93" s="456" t="s">
        <v>116</v>
      </c>
      <c r="FSK93" s="456" t="s">
        <v>116</v>
      </c>
      <c r="FSL93" s="456" t="s">
        <v>116</v>
      </c>
      <c r="FSM93" s="456" t="s">
        <v>116</v>
      </c>
      <c r="FSN93" s="456" t="s">
        <v>116</v>
      </c>
      <c r="FSO93" s="456" t="s">
        <v>116</v>
      </c>
      <c r="FSP93" s="456" t="s">
        <v>116</v>
      </c>
      <c r="FSQ93" s="456" t="s">
        <v>116</v>
      </c>
      <c r="FSR93" s="456" t="s">
        <v>116</v>
      </c>
      <c r="FSS93" s="456" t="s">
        <v>116</v>
      </c>
      <c r="FST93" s="456" t="s">
        <v>116</v>
      </c>
      <c r="FSU93" s="456" t="s">
        <v>116</v>
      </c>
      <c r="FSV93" s="456" t="s">
        <v>116</v>
      </c>
      <c r="FSW93" s="456" t="s">
        <v>116</v>
      </c>
      <c r="FSX93" s="456" t="s">
        <v>116</v>
      </c>
      <c r="FSY93" s="456" t="s">
        <v>116</v>
      </c>
      <c r="FSZ93" s="456" t="s">
        <v>116</v>
      </c>
      <c r="FTA93" s="456" t="s">
        <v>116</v>
      </c>
      <c r="FTB93" s="456" t="s">
        <v>116</v>
      </c>
      <c r="FTC93" s="456" t="s">
        <v>116</v>
      </c>
      <c r="FTD93" s="456" t="s">
        <v>116</v>
      </c>
      <c r="FTE93" s="456" t="s">
        <v>116</v>
      </c>
      <c r="FTF93" s="456" t="s">
        <v>116</v>
      </c>
      <c r="FTG93" s="456" t="s">
        <v>116</v>
      </c>
      <c r="FTH93" s="456" t="s">
        <v>116</v>
      </c>
      <c r="FTI93" s="456" t="s">
        <v>116</v>
      </c>
      <c r="FTJ93" s="456" t="s">
        <v>116</v>
      </c>
      <c r="FTK93" s="456" t="s">
        <v>116</v>
      </c>
      <c r="FTL93" s="456" t="s">
        <v>116</v>
      </c>
      <c r="FTM93" s="456" t="s">
        <v>116</v>
      </c>
      <c r="FTN93" s="456" t="s">
        <v>116</v>
      </c>
      <c r="FTO93" s="456" t="s">
        <v>116</v>
      </c>
      <c r="FTP93" s="456" t="s">
        <v>116</v>
      </c>
      <c r="FTQ93" s="456" t="s">
        <v>116</v>
      </c>
      <c r="FTR93" s="456" t="s">
        <v>116</v>
      </c>
      <c r="FTS93" s="456" t="s">
        <v>116</v>
      </c>
      <c r="FTT93" s="456" t="s">
        <v>116</v>
      </c>
      <c r="FTU93" s="456" t="s">
        <v>116</v>
      </c>
      <c r="FTV93" s="456" t="s">
        <v>116</v>
      </c>
      <c r="FTW93" s="456" t="s">
        <v>116</v>
      </c>
      <c r="FTX93" s="456" t="s">
        <v>116</v>
      </c>
      <c r="FTY93" s="456" t="s">
        <v>116</v>
      </c>
      <c r="FTZ93" s="456" t="s">
        <v>116</v>
      </c>
      <c r="FUA93" s="456" t="s">
        <v>116</v>
      </c>
      <c r="FUB93" s="456" t="s">
        <v>116</v>
      </c>
      <c r="FUC93" s="456" t="s">
        <v>116</v>
      </c>
      <c r="FUD93" s="456" t="s">
        <v>116</v>
      </c>
      <c r="FUE93" s="456" t="s">
        <v>116</v>
      </c>
      <c r="FUF93" s="456" t="s">
        <v>116</v>
      </c>
      <c r="FUG93" s="456" t="s">
        <v>116</v>
      </c>
      <c r="FUH93" s="456" t="s">
        <v>116</v>
      </c>
      <c r="FUI93" s="456" t="s">
        <v>116</v>
      </c>
      <c r="FUJ93" s="456" t="s">
        <v>116</v>
      </c>
      <c r="FUK93" s="456" t="s">
        <v>116</v>
      </c>
      <c r="FUL93" s="456" t="s">
        <v>116</v>
      </c>
      <c r="FUM93" s="456" t="s">
        <v>116</v>
      </c>
      <c r="FUN93" s="456" t="s">
        <v>116</v>
      </c>
      <c r="FUO93" s="456" t="s">
        <v>116</v>
      </c>
      <c r="FUP93" s="456" t="s">
        <v>116</v>
      </c>
      <c r="FUQ93" s="456" t="s">
        <v>116</v>
      </c>
      <c r="FUR93" s="456" t="s">
        <v>116</v>
      </c>
      <c r="FUS93" s="456" t="s">
        <v>116</v>
      </c>
      <c r="FUT93" s="456" t="s">
        <v>116</v>
      </c>
      <c r="FUU93" s="456" t="s">
        <v>116</v>
      </c>
      <c r="FUV93" s="456" t="s">
        <v>116</v>
      </c>
      <c r="FUW93" s="456" t="s">
        <v>116</v>
      </c>
      <c r="FUX93" s="456" t="s">
        <v>116</v>
      </c>
      <c r="FUY93" s="456" t="s">
        <v>116</v>
      </c>
      <c r="FUZ93" s="456" t="s">
        <v>116</v>
      </c>
      <c r="FVA93" s="456" t="s">
        <v>116</v>
      </c>
      <c r="FVB93" s="456" t="s">
        <v>116</v>
      </c>
      <c r="FVC93" s="456" t="s">
        <v>116</v>
      </c>
      <c r="FVD93" s="456" t="s">
        <v>116</v>
      </c>
      <c r="FVE93" s="456" t="s">
        <v>116</v>
      </c>
      <c r="FVF93" s="456" t="s">
        <v>116</v>
      </c>
      <c r="FVG93" s="456" t="s">
        <v>116</v>
      </c>
      <c r="FVH93" s="456" t="s">
        <v>116</v>
      </c>
      <c r="FVI93" s="456" t="s">
        <v>116</v>
      </c>
      <c r="FVJ93" s="456" t="s">
        <v>116</v>
      </c>
      <c r="FVK93" s="456" t="s">
        <v>116</v>
      </c>
      <c r="FVL93" s="456" t="s">
        <v>116</v>
      </c>
      <c r="FVM93" s="456" t="s">
        <v>116</v>
      </c>
      <c r="FVN93" s="456" t="s">
        <v>116</v>
      </c>
      <c r="FVO93" s="456" t="s">
        <v>116</v>
      </c>
      <c r="FVP93" s="456" t="s">
        <v>116</v>
      </c>
      <c r="FVQ93" s="456" t="s">
        <v>116</v>
      </c>
      <c r="FVR93" s="456" t="s">
        <v>116</v>
      </c>
      <c r="FVS93" s="456" t="s">
        <v>116</v>
      </c>
      <c r="FVT93" s="456" t="s">
        <v>116</v>
      </c>
      <c r="FVU93" s="456" t="s">
        <v>116</v>
      </c>
      <c r="FVV93" s="456" t="s">
        <v>116</v>
      </c>
      <c r="FVW93" s="456" t="s">
        <v>116</v>
      </c>
      <c r="FVX93" s="456" t="s">
        <v>116</v>
      </c>
      <c r="FVY93" s="456" t="s">
        <v>116</v>
      </c>
      <c r="FVZ93" s="456" t="s">
        <v>116</v>
      </c>
      <c r="FWA93" s="456" t="s">
        <v>116</v>
      </c>
      <c r="FWB93" s="456" t="s">
        <v>116</v>
      </c>
      <c r="FWC93" s="456" t="s">
        <v>116</v>
      </c>
      <c r="FWD93" s="456" t="s">
        <v>116</v>
      </c>
      <c r="FWE93" s="456" t="s">
        <v>116</v>
      </c>
      <c r="FWF93" s="456" t="s">
        <v>116</v>
      </c>
      <c r="FWG93" s="456" t="s">
        <v>116</v>
      </c>
      <c r="FWH93" s="456" t="s">
        <v>116</v>
      </c>
      <c r="FWI93" s="456" t="s">
        <v>116</v>
      </c>
      <c r="FWJ93" s="456" t="s">
        <v>116</v>
      </c>
      <c r="FWK93" s="456" t="s">
        <v>116</v>
      </c>
      <c r="FWL93" s="456" t="s">
        <v>116</v>
      </c>
      <c r="FWM93" s="456" t="s">
        <v>116</v>
      </c>
      <c r="FWN93" s="456" t="s">
        <v>116</v>
      </c>
      <c r="FWO93" s="456" t="s">
        <v>116</v>
      </c>
      <c r="FWP93" s="456" t="s">
        <v>116</v>
      </c>
      <c r="FWQ93" s="456" t="s">
        <v>116</v>
      </c>
      <c r="FWR93" s="456" t="s">
        <v>116</v>
      </c>
      <c r="FWS93" s="456" t="s">
        <v>116</v>
      </c>
      <c r="FWT93" s="456" t="s">
        <v>116</v>
      </c>
      <c r="FWU93" s="456" t="s">
        <v>116</v>
      </c>
      <c r="FWV93" s="456" t="s">
        <v>116</v>
      </c>
      <c r="FWW93" s="456" t="s">
        <v>116</v>
      </c>
      <c r="FWX93" s="456" t="s">
        <v>116</v>
      </c>
      <c r="FWY93" s="456" t="s">
        <v>116</v>
      </c>
      <c r="FWZ93" s="456" t="s">
        <v>116</v>
      </c>
      <c r="FXA93" s="456" t="s">
        <v>116</v>
      </c>
      <c r="FXB93" s="456" t="s">
        <v>116</v>
      </c>
      <c r="FXC93" s="456" t="s">
        <v>116</v>
      </c>
      <c r="FXD93" s="456" t="s">
        <v>116</v>
      </c>
      <c r="FXE93" s="456" t="s">
        <v>116</v>
      </c>
      <c r="FXF93" s="456" t="s">
        <v>116</v>
      </c>
      <c r="FXG93" s="456" t="s">
        <v>116</v>
      </c>
      <c r="FXH93" s="456" t="s">
        <v>116</v>
      </c>
      <c r="FXI93" s="456" t="s">
        <v>116</v>
      </c>
      <c r="FXJ93" s="456" t="s">
        <v>116</v>
      </c>
      <c r="FXK93" s="456" t="s">
        <v>116</v>
      </c>
      <c r="FXL93" s="456" t="s">
        <v>116</v>
      </c>
      <c r="FXM93" s="456" t="s">
        <v>116</v>
      </c>
      <c r="FXN93" s="456" t="s">
        <v>116</v>
      </c>
      <c r="FXO93" s="456" t="s">
        <v>116</v>
      </c>
      <c r="FXP93" s="456" t="s">
        <v>116</v>
      </c>
      <c r="FXQ93" s="456" t="s">
        <v>116</v>
      </c>
      <c r="FXR93" s="456" t="s">
        <v>116</v>
      </c>
      <c r="FXS93" s="456" t="s">
        <v>116</v>
      </c>
      <c r="FXT93" s="456" t="s">
        <v>116</v>
      </c>
      <c r="FXU93" s="456" t="s">
        <v>116</v>
      </c>
      <c r="FXV93" s="456" t="s">
        <v>116</v>
      </c>
      <c r="FXW93" s="456" t="s">
        <v>116</v>
      </c>
      <c r="FXX93" s="456" t="s">
        <v>116</v>
      </c>
      <c r="FXY93" s="456" t="s">
        <v>116</v>
      </c>
      <c r="FXZ93" s="456" t="s">
        <v>116</v>
      </c>
      <c r="FYA93" s="456" t="s">
        <v>116</v>
      </c>
      <c r="FYB93" s="456" t="s">
        <v>116</v>
      </c>
      <c r="FYC93" s="456" t="s">
        <v>116</v>
      </c>
      <c r="FYD93" s="456" t="s">
        <v>116</v>
      </c>
      <c r="FYE93" s="456" t="s">
        <v>116</v>
      </c>
      <c r="FYF93" s="456" t="s">
        <v>116</v>
      </c>
      <c r="FYG93" s="456" t="s">
        <v>116</v>
      </c>
      <c r="FYH93" s="456" t="s">
        <v>116</v>
      </c>
      <c r="FYI93" s="456" t="s">
        <v>116</v>
      </c>
      <c r="FYJ93" s="456" t="s">
        <v>116</v>
      </c>
      <c r="FYK93" s="456" t="s">
        <v>116</v>
      </c>
      <c r="FYL93" s="456" t="s">
        <v>116</v>
      </c>
      <c r="FYM93" s="456" t="s">
        <v>116</v>
      </c>
      <c r="FYN93" s="456" t="s">
        <v>116</v>
      </c>
      <c r="FYO93" s="456" t="s">
        <v>116</v>
      </c>
      <c r="FYP93" s="456" t="s">
        <v>116</v>
      </c>
      <c r="FYQ93" s="456" t="s">
        <v>116</v>
      </c>
      <c r="FYR93" s="456" t="s">
        <v>116</v>
      </c>
      <c r="FYS93" s="456" t="s">
        <v>116</v>
      </c>
      <c r="FYT93" s="456" t="s">
        <v>116</v>
      </c>
      <c r="FYU93" s="456" t="s">
        <v>116</v>
      </c>
      <c r="FYV93" s="456" t="s">
        <v>116</v>
      </c>
      <c r="FYW93" s="456" t="s">
        <v>116</v>
      </c>
      <c r="FYX93" s="456" t="s">
        <v>116</v>
      </c>
      <c r="FYY93" s="456" t="s">
        <v>116</v>
      </c>
      <c r="FYZ93" s="456" t="s">
        <v>116</v>
      </c>
      <c r="FZA93" s="456" t="s">
        <v>116</v>
      </c>
      <c r="FZB93" s="456" t="s">
        <v>116</v>
      </c>
      <c r="FZC93" s="456" t="s">
        <v>116</v>
      </c>
      <c r="FZD93" s="456" t="s">
        <v>116</v>
      </c>
      <c r="FZE93" s="456" t="s">
        <v>116</v>
      </c>
      <c r="FZF93" s="456" t="s">
        <v>116</v>
      </c>
      <c r="FZG93" s="456" t="s">
        <v>116</v>
      </c>
      <c r="FZH93" s="456" t="s">
        <v>116</v>
      </c>
      <c r="FZI93" s="456" t="s">
        <v>116</v>
      </c>
      <c r="FZJ93" s="456" t="s">
        <v>116</v>
      </c>
      <c r="FZK93" s="456" t="s">
        <v>116</v>
      </c>
      <c r="FZL93" s="456" t="s">
        <v>116</v>
      </c>
      <c r="FZM93" s="456" t="s">
        <v>116</v>
      </c>
      <c r="FZN93" s="456" t="s">
        <v>116</v>
      </c>
      <c r="FZO93" s="456" t="s">
        <v>116</v>
      </c>
      <c r="FZP93" s="456" t="s">
        <v>116</v>
      </c>
      <c r="FZQ93" s="456" t="s">
        <v>116</v>
      </c>
      <c r="FZR93" s="456" t="s">
        <v>116</v>
      </c>
      <c r="FZS93" s="456" t="s">
        <v>116</v>
      </c>
      <c r="FZT93" s="456" t="s">
        <v>116</v>
      </c>
      <c r="FZU93" s="456" t="s">
        <v>116</v>
      </c>
      <c r="FZV93" s="456" t="s">
        <v>116</v>
      </c>
      <c r="FZW93" s="456" t="s">
        <v>116</v>
      </c>
      <c r="FZX93" s="456" t="s">
        <v>116</v>
      </c>
      <c r="FZY93" s="456" t="s">
        <v>116</v>
      </c>
      <c r="FZZ93" s="456" t="s">
        <v>116</v>
      </c>
      <c r="GAA93" s="456" t="s">
        <v>116</v>
      </c>
      <c r="GAB93" s="456" t="s">
        <v>116</v>
      </c>
      <c r="GAC93" s="456" t="s">
        <v>116</v>
      </c>
      <c r="GAD93" s="456" t="s">
        <v>116</v>
      </c>
      <c r="GAE93" s="456" t="s">
        <v>116</v>
      </c>
      <c r="GAF93" s="456" t="s">
        <v>116</v>
      </c>
      <c r="GAG93" s="456" t="s">
        <v>116</v>
      </c>
      <c r="GAH93" s="456" t="s">
        <v>116</v>
      </c>
      <c r="GAI93" s="456" t="s">
        <v>116</v>
      </c>
      <c r="GAJ93" s="456" t="s">
        <v>116</v>
      </c>
      <c r="GAK93" s="456" t="s">
        <v>116</v>
      </c>
      <c r="GAL93" s="456" t="s">
        <v>116</v>
      </c>
      <c r="GAM93" s="456" t="s">
        <v>116</v>
      </c>
      <c r="GAN93" s="456" t="s">
        <v>116</v>
      </c>
      <c r="GAO93" s="456" t="s">
        <v>116</v>
      </c>
      <c r="GAP93" s="456" t="s">
        <v>116</v>
      </c>
      <c r="GAQ93" s="456" t="s">
        <v>116</v>
      </c>
      <c r="GAR93" s="456" t="s">
        <v>116</v>
      </c>
      <c r="GAS93" s="456" t="s">
        <v>116</v>
      </c>
      <c r="GAT93" s="456" t="s">
        <v>116</v>
      </c>
      <c r="GAU93" s="456" t="s">
        <v>116</v>
      </c>
      <c r="GAV93" s="456" t="s">
        <v>116</v>
      </c>
      <c r="GAW93" s="456" t="s">
        <v>116</v>
      </c>
      <c r="GAX93" s="456" t="s">
        <v>116</v>
      </c>
      <c r="GAY93" s="456" t="s">
        <v>116</v>
      </c>
      <c r="GAZ93" s="456" t="s">
        <v>116</v>
      </c>
      <c r="GBA93" s="456" t="s">
        <v>116</v>
      </c>
      <c r="GBB93" s="456" t="s">
        <v>116</v>
      </c>
      <c r="GBC93" s="456" t="s">
        <v>116</v>
      </c>
      <c r="GBD93" s="456" t="s">
        <v>116</v>
      </c>
      <c r="GBE93" s="456" t="s">
        <v>116</v>
      </c>
      <c r="GBF93" s="456" t="s">
        <v>116</v>
      </c>
      <c r="GBG93" s="456" t="s">
        <v>116</v>
      </c>
      <c r="GBH93" s="456" t="s">
        <v>116</v>
      </c>
      <c r="GBI93" s="456" t="s">
        <v>116</v>
      </c>
      <c r="GBJ93" s="456" t="s">
        <v>116</v>
      </c>
      <c r="GBK93" s="456" t="s">
        <v>116</v>
      </c>
      <c r="GBL93" s="456" t="s">
        <v>116</v>
      </c>
      <c r="GBM93" s="456" t="s">
        <v>116</v>
      </c>
      <c r="GBN93" s="456" t="s">
        <v>116</v>
      </c>
      <c r="GBO93" s="456" t="s">
        <v>116</v>
      </c>
      <c r="GBP93" s="456" t="s">
        <v>116</v>
      </c>
      <c r="GBQ93" s="456" t="s">
        <v>116</v>
      </c>
      <c r="GBR93" s="456" t="s">
        <v>116</v>
      </c>
      <c r="GBS93" s="456" t="s">
        <v>116</v>
      </c>
      <c r="GBT93" s="456" t="s">
        <v>116</v>
      </c>
      <c r="GBU93" s="456" t="s">
        <v>116</v>
      </c>
      <c r="GBV93" s="456" t="s">
        <v>116</v>
      </c>
      <c r="GBW93" s="456" t="s">
        <v>116</v>
      </c>
      <c r="GBX93" s="456" t="s">
        <v>116</v>
      </c>
      <c r="GBY93" s="456" t="s">
        <v>116</v>
      </c>
      <c r="GBZ93" s="456" t="s">
        <v>116</v>
      </c>
      <c r="GCA93" s="456" t="s">
        <v>116</v>
      </c>
      <c r="GCB93" s="456" t="s">
        <v>116</v>
      </c>
      <c r="GCC93" s="456" t="s">
        <v>116</v>
      </c>
      <c r="GCD93" s="456" t="s">
        <v>116</v>
      </c>
      <c r="GCE93" s="456" t="s">
        <v>116</v>
      </c>
      <c r="GCF93" s="456" t="s">
        <v>116</v>
      </c>
      <c r="GCG93" s="456" t="s">
        <v>116</v>
      </c>
      <c r="GCH93" s="456" t="s">
        <v>116</v>
      </c>
      <c r="GCI93" s="456" t="s">
        <v>116</v>
      </c>
      <c r="GCJ93" s="456" t="s">
        <v>116</v>
      </c>
      <c r="GCK93" s="456" t="s">
        <v>116</v>
      </c>
      <c r="GCL93" s="456" t="s">
        <v>116</v>
      </c>
      <c r="GCM93" s="456" t="s">
        <v>116</v>
      </c>
      <c r="GCN93" s="456" t="s">
        <v>116</v>
      </c>
      <c r="GCO93" s="456" t="s">
        <v>116</v>
      </c>
      <c r="GCP93" s="456" t="s">
        <v>116</v>
      </c>
      <c r="GCQ93" s="456" t="s">
        <v>116</v>
      </c>
      <c r="GCR93" s="456" t="s">
        <v>116</v>
      </c>
      <c r="GCS93" s="456" t="s">
        <v>116</v>
      </c>
      <c r="GCT93" s="456" t="s">
        <v>116</v>
      </c>
      <c r="GCU93" s="456" t="s">
        <v>116</v>
      </c>
      <c r="GCV93" s="456" t="s">
        <v>116</v>
      </c>
      <c r="GCW93" s="456" t="s">
        <v>116</v>
      </c>
      <c r="GCX93" s="456" t="s">
        <v>116</v>
      </c>
      <c r="GCY93" s="456" t="s">
        <v>116</v>
      </c>
      <c r="GCZ93" s="456" t="s">
        <v>116</v>
      </c>
      <c r="GDA93" s="456" t="s">
        <v>116</v>
      </c>
      <c r="GDB93" s="456" t="s">
        <v>116</v>
      </c>
      <c r="GDC93" s="456" t="s">
        <v>116</v>
      </c>
      <c r="GDD93" s="456" t="s">
        <v>116</v>
      </c>
      <c r="GDE93" s="456" t="s">
        <v>116</v>
      </c>
      <c r="GDF93" s="456" t="s">
        <v>116</v>
      </c>
      <c r="GDG93" s="456" t="s">
        <v>116</v>
      </c>
      <c r="GDH93" s="456" t="s">
        <v>116</v>
      </c>
      <c r="GDI93" s="456" t="s">
        <v>116</v>
      </c>
      <c r="GDJ93" s="456" t="s">
        <v>116</v>
      </c>
      <c r="GDK93" s="456" t="s">
        <v>116</v>
      </c>
      <c r="GDL93" s="456" t="s">
        <v>116</v>
      </c>
      <c r="GDM93" s="456" t="s">
        <v>116</v>
      </c>
      <c r="GDN93" s="456" t="s">
        <v>116</v>
      </c>
      <c r="GDO93" s="456" t="s">
        <v>116</v>
      </c>
      <c r="GDP93" s="456" t="s">
        <v>116</v>
      </c>
      <c r="GDQ93" s="456" t="s">
        <v>116</v>
      </c>
      <c r="GDR93" s="456" t="s">
        <v>116</v>
      </c>
      <c r="GDS93" s="456" t="s">
        <v>116</v>
      </c>
      <c r="GDT93" s="456" t="s">
        <v>116</v>
      </c>
      <c r="GDU93" s="456" t="s">
        <v>116</v>
      </c>
      <c r="GDV93" s="456" t="s">
        <v>116</v>
      </c>
      <c r="GDW93" s="456" t="s">
        <v>116</v>
      </c>
      <c r="GDX93" s="456" t="s">
        <v>116</v>
      </c>
      <c r="GDY93" s="456" t="s">
        <v>116</v>
      </c>
      <c r="GDZ93" s="456" t="s">
        <v>116</v>
      </c>
      <c r="GEA93" s="456" t="s">
        <v>116</v>
      </c>
      <c r="GEB93" s="456" t="s">
        <v>116</v>
      </c>
      <c r="GEC93" s="456" t="s">
        <v>116</v>
      </c>
      <c r="GED93" s="456" t="s">
        <v>116</v>
      </c>
      <c r="GEE93" s="456" t="s">
        <v>116</v>
      </c>
      <c r="GEF93" s="456" t="s">
        <v>116</v>
      </c>
      <c r="GEG93" s="456" t="s">
        <v>116</v>
      </c>
      <c r="GEH93" s="456" t="s">
        <v>116</v>
      </c>
      <c r="GEI93" s="456" t="s">
        <v>116</v>
      </c>
      <c r="GEJ93" s="456" t="s">
        <v>116</v>
      </c>
      <c r="GEK93" s="456" t="s">
        <v>116</v>
      </c>
      <c r="GEL93" s="456" t="s">
        <v>116</v>
      </c>
      <c r="GEM93" s="456" t="s">
        <v>116</v>
      </c>
      <c r="GEN93" s="456" t="s">
        <v>116</v>
      </c>
      <c r="GEO93" s="456" t="s">
        <v>116</v>
      </c>
      <c r="GEP93" s="456" t="s">
        <v>116</v>
      </c>
      <c r="GEQ93" s="456" t="s">
        <v>116</v>
      </c>
      <c r="GER93" s="456" t="s">
        <v>116</v>
      </c>
      <c r="GES93" s="456" t="s">
        <v>116</v>
      </c>
      <c r="GET93" s="456" t="s">
        <v>116</v>
      </c>
      <c r="GEU93" s="456" t="s">
        <v>116</v>
      </c>
      <c r="GEV93" s="456" t="s">
        <v>116</v>
      </c>
      <c r="GEW93" s="456" t="s">
        <v>116</v>
      </c>
      <c r="GEX93" s="456" t="s">
        <v>116</v>
      </c>
      <c r="GEY93" s="456" t="s">
        <v>116</v>
      </c>
      <c r="GEZ93" s="456" t="s">
        <v>116</v>
      </c>
      <c r="GFA93" s="456" t="s">
        <v>116</v>
      </c>
      <c r="GFB93" s="456" t="s">
        <v>116</v>
      </c>
      <c r="GFC93" s="456" t="s">
        <v>116</v>
      </c>
      <c r="GFD93" s="456" t="s">
        <v>116</v>
      </c>
      <c r="GFE93" s="456" t="s">
        <v>116</v>
      </c>
      <c r="GFF93" s="456" t="s">
        <v>116</v>
      </c>
      <c r="GFG93" s="456" t="s">
        <v>116</v>
      </c>
      <c r="GFH93" s="456" t="s">
        <v>116</v>
      </c>
      <c r="GFI93" s="456" t="s">
        <v>116</v>
      </c>
      <c r="GFJ93" s="456" t="s">
        <v>116</v>
      </c>
      <c r="GFK93" s="456" t="s">
        <v>116</v>
      </c>
      <c r="GFL93" s="456" t="s">
        <v>116</v>
      </c>
      <c r="GFM93" s="456" t="s">
        <v>116</v>
      </c>
      <c r="GFN93" s="456" t="s">
        <v>116</v>
      </c>
      <c r="GFO93" s="456" t="s">
        <v>116</v>
      </c>
      <c r="GFP93" s="456" t="s">
        <v>116</v>
      </c>
      <c r="GFQ93" s="456" t="s">
        <v>116</v>
      </c>
      <c r="GFR93" s="456" t="s">
        <v>116</v>
      </c>
      <c r="GFS93" s="456" t="s">
        <v>116</v>
      </c>
      <c r="GFT93" s="456" t="s">
        <v>116</v>
      </c>
      <c r="GFU93" s="456" t="s">
        <v>116</v>
      </c>
      <c r="GFV93" s="456" t="s">
        <v>116</v>
      </c>
      <c r="GFW93" s="456" t="s">
        <v>116</v>
      </c>
      <c r="GFX93" s="456" t="s">
        <v>116</v>
      </c>
      <c r="GFY93" s="456" t="s">
        <v>116</v>
      </c>
      <c r="GFZ93" s="456" t="s">
        <v>116</v>
      </c>
      <c r="GGA93" s="456" t="s">
        <v>116</v>
      </c>
      <c r="GGB93" s="456" t="s">
        <v>116</v>
      </c>
      <c r="GGC93" s="456" t="s">
        <v>116</v>
      </c>
      <c r="GGD93" s="456" t="s">
        <v>116</v>
      </c>
      <c r="GGE93" s="456" t="s">
        <v>116</v>
      </c>
      <c r="GGF93" s="456" t="s">
        <v>116</v>
      </c>
      <c r="GGG93" s="456" t="s">
        <v>116</v>
      </c>
      <c r="GGH93" s="456" t="s">
        <v>116</v>
      </c>
      <c r="GGI93" s="456" t="s">
        <v>116</v>
      </c>
      <c r="GGJ93" s="456" t="s">
        <v>116</v>
      </c>
      <c r="GGK93" s="456" t="s">
        <v>116</v>
      </c>
      <c r="GGL93" s="456" t="s">
        <v>116</v>
      </c>
      <c r="GGM93" s="456" t="s">
        <v>116</v>
      </c>
      <c r="GGN93" s="456" t="s">
        <v>116</v>
      </c>
      <c r="GGO93" s="456" t="s">
        <v>116</v>
      </c>
      <c r="GGP93" s="456" t="s">
        <v>116</v>
      </c>
      <c r="GGQ93" s="456" t="s">
        <v>116</v>
      </c>
      <c r="GGR93" s="456" t="s">
        <v>116</v>
      </c>
      <c r="GGS93" s="456" t="s">
        <v>116</v>
      </c>
      <c r="GGT93" s="456" t="s">
        <v>116</v>
      </c>
      <c r="GGU93" s="456" t="s">
        <v>116</v>
      </c>
      <c r="GGV93" s="456" t="s">
        <v>116</v>
      </c>
      <c r="GGW93" s="456" t="s">
        <v>116</v>
      </c>
      <c r="GGX93" s="456" t="s">
        <v>116</v>
      </c>
      <c r="GGY93" s="456" t="s">
        <v>116</v>
      </c>
      <c r="GGZ93" s="456" t="s">
        <v>116</v>
      </c>
      <c r="GHA93" s="456" t="s">
        <v>116</v>
      </c>
      <c r="GHB93" s="456" t="s">
        <v>116</v>
      </c>
      <c r="GHC93" s="456" t="s">
        <v>116</v>
      </c>
      <c r="GHD93" s="456" t="s">
        <v>116</v>
      </c>
      <c r="GHE93" s="456" t="s">
        <v>116</v>
      </c>
      <c r="GHF93" s="456" t="s">
        <v>116</v>
      </c>
      <c r="GHG93" s="456" t="s">
        <v>116</v>
      </c>
      <c r="GHH93" s="456" t="s">
        <v>116</v>
      </c>
      <c r="GHI93" s="456" t="s">
        <v>116</v>
      </c>
      <c r="GHJ93" s="456" t="s">
        <v>116</v>
      </c>
      <c r="GHK93" s="456" t="s">
        <v>116</v>
      </c>
      <c r="GHL93" s="456" t="s">
        <v>116</v>
      </c>
      <c r="GHM93" s="456" t="s">
        <v>116</v>
      </c>
      <c r="GHN93" s="456" t="s">
        <v>116</v>
      </c>
      <c r="GHO93" s="456" t="s">
        <v>116</v>
      </c>
      <c r="GHP93" s="456" t="s">
        <v>116</v>
      </c>
      <c r="GHQ93" s="456" t="s">
        <v>116</v>
      </c>
      <c r="GHR93" s="456" t="s">
        <v>116</v>
      </c>
      <c r="GHS93" s="456" t="s">
        <v>116</v>
      </c>
      <c r="GHT93" s="456" t="s">
        <v>116</v>
      </c>
      <c r="GHU93" s="456" t="s">
        <v>116</v>
      </c>
      <c r="GHV93" s="456" t="s">
        <v>116</v>
      </c>
      <c r="GHW93" s="456" t="s">
        <v>116</v>
      </c>
      <c r="GHX93" s="456" t="s">
        <v>116</v>
      </c>
      <c r="GHY93" s="456" t="s">
        <v>116</v>
      </c>
      <c r="GHZ93" s="456" t="s">
        <v>116</v>
      </c>
      <c r="GIA93" s="456" t="s">
        <v>116</v>
      </c>
      <c r="GIB93" s="456" t="s">
        <v>116</v>
      </c>
      <c r="GIC93" s="456" t="s">
        <v>116</v>
      </c>
      <c r="GID93" s="456" t="s">
        <v>116</v>
      </c>
      <c r="GIE93" s="456" t="s">
        <v>116</v>
      </c>
      <c r="GIF93" s="456" t="s">
        <v>116</v>
      </c>
      <c r="GIG93" s="456" t="s">
        <v>116</v>
      </c>
      <c r="GIH93" s="456" t="s">
        <v>116</v>
      </c>
      <c r="GII93" s="456" t="s">
        <v>116</v>
      </c>
      <c r="GIJ93" s="456" t="s">
        <v>116</v>
      </c>
      <c r="GIK93" s="456" t="s">
        <v>116</v>
      </c>
      <c r="GIL93" s="456" t="s">
        <v>116</v>
      </c>
      <c r="GIM93" s="456" t="s">
        <v>116</v>
      </c>
      <c r="GIN93" s="456" t="s">
        <v>116</v>
      </c>
      <c r="GIO93" s="456" t="s">
        <v>116</v>
      </c>
      <c r="GIP93" s="456" t="s">
        <v>116</v>
      </c>
      <c r="GIQ93" s="456" t="s">
        <v>116</v>
      </c>
      <c r="GIR93" s="456" t="s">
        <v>116</v>
      </c>
      <c r="GIS93" s="456" t="s">
        <v>116</v>
      </c>
      <c r="GIT93" s="456" t="s">
        <v>116</v>
      </c>
      <c r="GIU93" s="456" t="s">
        <v>116</v>
      </c>
      <c r="GIV93" s="456" t="s">
        <v>116</v>
      </c>
      <c r="GIW93" s="456" t="s">
        <v>116</v>
      </c>
      <c r="GIX93" s="456" t="s">
        <v>116</v>
      </c>
      <c r="GIY93" s="456" t="s">
        <v>116</v>
      </c>
      <c r="GIZ93" s="456" t="s">
        <v>116</v>
      </c>
      <c r="GJA93" s="456" t="s">
        <v>116</v>
      </c>
      <c r="GJB93" s="456" t="s">
        <v>116</v>
      </c>
      <c r="GJC93" s="456" t="s">
        <v>116</v>
      </c>
      <c r="GJD93" s="456" t="s">
        <v>116</v>
      </c>
      <c r="GJE93" s="456" t="s">
        <v>116</v>
      </c>
      <c r="GJF93" s="456" t="s">
        <v>116</v>
      </c>
      <c r="GJG93" s="456" t="s">
        <v>116</v>
      </c>
      <c r="GJH93" s="456" t="s">
        <v>116</v>
      </c>
      <c r="GJI93" s="456" t="s">
        <v>116</v>
      </c>
      <c r="GJJ93" s="456" t="s">
        <v>116</v>
      </c>
      <c r="GJK93" s="456" t="s">
        <v>116</v>
      </c>
      <c r="GJL93" s="456" t="s">
        <v>116</v>
      </c>
      <c r="GJM93" s="456" t="s">
        <v>116</v>
      </c>
      <c r="GJN93" s="456" t="s">
        <v>116</v>
      </c>
      <c r="GJO93" s="456" t="s">
        <v>116</v>
      </c>
      <c r="GJP93" s="456" t="s">
        <v>116</v>
      </c>
      <c r="GJQ93" s="456" t="s">
        <v>116</v>
      </c>
      <c r="GJR93" s="456" t="s">
        <v>116</v>
      </c>
      <c r="GJS93" s="456" t="s">
        <v>116</v>
      </c>
      <c r="GJT93" s="456" t="s">
        <v>116</v>
      </c>
      <c r="GJU93" s="456" t="s">
        <v>116</v>
      </c>
      <c r="GJV93" s="456" t="s">
        <v>116</v>
      </c>
      <c r="GJW93" s="456" t="s">
        <v>116</v>
      </c>
      <c r="GJX93" s="456" t="s">
        <v>116</v>
      </c>
      <c r="GJY93" s="456" t="s">
        <v>116</v>
      </c>
      <c r="GJZ93" s="456" t="s">
        <v>116</v>
      </c>
      <c r="GKA93" s="456" t="s">
        <v>116</v>
      </c>
      <c r="GKB93" s="456" t="s">
        <v>116</v>
      </c>
      <c r="GKC93" s="456" t="s">
        <v>116</v>
      </c>
      <c r="GKD93" s="456" t="s">
        <v>116</v>
      </c>
      <c r="GKE93" s="456" t="s">
        <v>116</v>
      </c>
      <c r="GKF93" s="456" t="s">
        <v>116</v>
      </c>
      <c r="GKG93" s="456" t="s">
        <v>116</v>
      </c>
      <c r="GKH93" s="456" t="s">
        <v>116</v>
      </c>
      <c r="GKI93" s="456" t="s">
        <v>116</v>
      </c>
      <c r="GKJ93" s="456" t="s">
        <v>116</v>
      </c>
      <c r="GKK93" s="456" t="s">
        <v>116</v>
      </c>
      <c r="GKL93" s="456" t="s">
        <v>116</v>
      </c>
      <c r="GKM93" s="456" t="s">
        <v>116</v>
      </c>
      <c r="GKN93" s="456" t="s">
        <v>116</v>
      </c>
      <c r="GKO93" s="456" t="s">
        <v>116</v>
      </c>
      <c r="GKP93" s="456" t="s">
        <v>116</v>
      </c>
      <c r="GKQ93" s="456" t="s">
        <v>116</v>
      </c>
      <c r="GKR93" s="456" t="s">
        <v>116</v>
      </c>
      <c r="GKS93" s="456" t="s">
        <v>116</v>
      </c>
      <c r="GKT93" s="456" t="s">
        <v>116</v>
      </c>
      <c r="GKU93" s="456" t="s">
        <v>116</v>
      </c>
      <c r="GKV93" s="456" t="s">
        <v>116</v>
      </c>
      <c r="GKW93" s="456" t="s">
        <v>116</v>
      </c>
      <c r="GKX93" s="456" t="s">
        <v>116</v>
      </c>
      <c r="GKY93" s="456" t="s">
        <v>116</v>
      </c>
      <c r="GKZ93" s="456" t="s">
        <v>116</v>
      </c>
      <c r="GLA93" s="456" t="s">
        <v>116</v>
      </c>
      <c r="GLB93" s="456" t="s">
        <v>116</v>
      </c>
      <c r="GLC93" s="456" t="s">
        <v>116</v>
      </c>
      <c r="GLD93" s="456" t="s">
        <v>116</v>
      </c>
      <c r="GLE93" s="456" t="s">
        <v>116</v>
      </c>
      <c r="GLF93" s="456" t="s">
        <v>116</v>
      </c>
      <c r="GLG93" s="456" t="s">
        <v>116</v>
      </c>
      <c r="GLH93" s="456" t="s">
        <v>116</v>
      </c>
      <c r="GLI93" s="456" t="s">
        <v>116</v>
      </c>
      <c r="GLJ93" s="456" t="s">
        <v>116</v>
      </c>
      <c r="GLK93" s="456" t="s">
        <v>116</v>
      </c>
      <c r="GLL93" s="456" t="s">
        <v>116</v>
      </c>
      <c r="GLM93" s="456" t="s">
        <v>116</v>
      </c>
      <c r="GLN93" s="456" t="s">
        <v>116</v>
      </c>
      <c r="GLO93" s="456" t="s">
        <v>116</v>
      </c>
      <c r="GLP93" s="456" t="s">
        <v>116</v>
      </c>
      <c r="GLQ93" s="456" t="s">
        <v>116</v>
      </c>
      <c r="GLR93" s="456" t="s">
        <v>116</v>
      </c>
      <c r="GLS93" s="456" t="s">
        <v>116</v>
      </c>
      <c r="GLT93" s="456" t="s">
        <v>116</v>
      </c>
      <c r="GLU93" s="456" t="s">
        <v>116</v>
      </c>
      <c r="GLV93" s="456" t="s">
        <v>116</v>
      </c>
      <c r="GLW93" s="456" t="s">
        <v>116</v>
      </c>
      <c r="GLX93" s="456" t="s">
        <v>116</v>
      </c>
      <c r="GLY93" s="456" t="s">
        <v>116</v>
      </c>
      <c r="GLZ93" s="456" t="s">
        <v>116</v>
      </c>
      <c r="GMA93" s="456" t="s">
        <v>116</v>
      </c>
      <c r="GMB93" s="456" t="s">
        <v>116</v>
      </c>
      <c r="GMC93" s="456" t="s">
        <v>116</v>
      </c>
      <c r="GMD93" s="456" t="s">
        <v>116</v>
      </c>
      <c r="GME93" s="456" t="s">
        <v>116</v>
      </c>
      <c r="GMF93" s="456" t="s">
        <v>116</v>
      </c>
      <c r="GMG93" s="456" t="s">
        <v>116</v>
      </c>
      <c r="GMH93" s="456" t="s">
        <v>116</v>
      </c>
      <c r="GMI93" s="456" t="s">
        <v>116</v>
      </c>
      <c r="GMJ93" s="456" t="s">
        <v>116</v>
      </c>
      <c r="GMK93" s="456" t="s">
        <v>116</v>
      </c>
      <c r="GML93" s="456" t="s">
        <v>116</v>
      </c>
      <c r="GMM93" s="456" t="s">
        <v>116</v>
      </c>
      <c r="GMN93" s="456" t="s">
        <v>116</v>
      </c>
      <c r="GMO93" s="456" t="s">
        <v>116</v>
      </c>
      <c r="GMP93" s="456" t="s">
        <v>116</v>
      </c>
      <c r="GMQ93" s="456" t="s">
        <v>116</v>
      </c>
      <c r="GMR93" s="456" t="s">
        <v>116</v>
      </c>
      <c r="GMS93" s="456" t="s">
        <v>116</v>
      </c>
      <c r="GMT93" s="456" t="s">
        <v>116</v>
      </c>
      <c r="GMU93" s="456" t="s">
        <v>116</v>
      </c>
      <c r="GMV93" s="456" t="s">
        <v>116</v>
      </c>
      <c r="GMW93" s="456" t="s">
        <v>116</v>
      </c>
      <c r="GMX93" s="456" t="s">
        <v>116</v>
      </c>
      <c r="GMY93" s="456" t="s">
        <v>116</v>
      </c>
      <c r="GMZ93" s="456" t="s">
        <v>116</v>
      </c>
      <c r="GNA93" s="456" t="s">
        <v>116</v>
      </c>
      <c r="GNB93" s="456" t="s">
        <v>116</v>
      </c>
      <c r="GNC93" s="456" t="s">
        <v>116</v>
      </c>
      <c r="GND93" s="456" t="s">
        <v>116</v>
      </c>
      <c r="GNE93" s="456" t="s">
        <v>116</v>
      </c>
      <c r="GNF93" s="456" t="s">
        <v>116</v>
      </c>
      <c r="GNG93" s="456" t="s">
        <v>116</v>
      </c>
      <c r="GNH93" s="456" t="s">
        <v>116</v>
      </c>
      <c r="GNI93" s="456" t="s">
        <v>116</v>
      </c>
      <c r="GNJ93" s="456" t="s">
        <v>116</v>
      </c>
      <c r="GNK93" s="456" t="s">
        <v>116</v>
      </c>
      <c r="GNL93" s="456" t="s">
        <v>116</v>
      </c>
      <c r="GNM93" s="456" t="s">
        <v>116</v>
      </c>
      <c r="GNN93" s="456" t="s">
        <v>116</v>
      </c>
      <c r="GNO93" s="456" t="s">
        <v>116</v>
      </c>
      <c r="GNP93" s="456" t="s">
        <v>116</v>
      </c>
      <c r="GNQ93" s="456" t="s">
        <v>116</v>
      </c>
      <c r="GNR93" s="456" t="s">
        <v>116</v>
      </c>
      <c r="GNS93" s="456" t="s">
        <v>116</v>
      </c>
      <c r="GNT93" s="456" t="s">
        <v>116</v>
      </c>
      <c r="GNU93" s="456" t="s">
        <v>116</v>
      </c>
      <c r="GNV93" s="456" t="s">
        <v>116</v>
      </c>
      <c r="GNW93" s="456" t="s">
        <v>116</v>
      </c>
      <c r="GNX93" s="456" t="s">
        <v>116</v>
      </c>
      <c r="GNY93" s="456" t="s">
        <v>116</v>
      </c>
      <c r="GNZ93" s="456" t="s">
        <v>116</v>
      </c>
      <c r="GOA93" s="456" t="s">
        <v>116</v>
      </c>
      <c r="GOB93" s="456" t="s">
        <v>116</v>
      </c>
      <c r="GOC93" s="456" t="s">
        <v>116</v>
      </c>
      <c r="GOD93" s="456" t="s">
        <v>116</v>
      </c>
      <c r="GOE93" s="456" t="s">
        <v>116</v>
      </c>
      <c r="GOF93" s="456" t="s">
        <v>116</v>
      </c>
      <c r="GOG93" s="456" t="s">
        <v>116</v>
      </c>
      <c r="GOH93" s="456" t="s">
        <v>116</v>
      </c>
      <c r="GOI93" s="456" t="s">
        <v>116</v>
      </c>
      <c r="GOJ93" s="456" t="s">
        <v>116</v>
      </c>
      <c r="GOK93" s="456" t="s">
        <v>116</v>
      </c>
      <c r="GOL93" s="456" t="s">
        <v>116</v>
      </c>
      <c r="GOM93" s="456" t="s">
        <v>116</v>
      </c>
      <c r="GON93" s="456" t="s">
        <v>116</v>
      </c>
      <c r="GOO93" s="456" t="s">
        <v>116</v>
      </c>
      <c r="GOP93" s="456" t="s">
        <v>116</v>
      </c>
      <c r="GOQ93" s="456" t="s">
        <v>116</v>
      </c>
      <c r="GOR93" s="456" t="s">
        <v>116</v>
      </c>
      <c r="GOS93" s="456" t="s">
        <v>116</v>
      </c>
      <c r="GOT93" s="456" t="s">
        <v>116</v>
      </c>
      <c r="GOU93" s="456" t="s">
        <v>116</v>
      </c>
      <c r="GOV93" s="456" t="s">
        <v>116</v>
      </c>
      <c r="GOW93" s="456" t="s">
        <v>116</v>
      </c>
      <c r="GOX93" s="456" t="s">
        <v>116</v>
      </c>
      <c r="GOY93" s="456" t="s">
        <v>116</v>
      </c>
      <c r="GOZ93" s="456" t="s">
        <v>116</v>
      </c>
      <c r="GPA93" s="456" t="s">
        <v>116</v>
      </c>
      <c r="GPB93" s="456" t="s">
        <v>116</v>
      </c>
      <c r="GPC93" s="456" t="s">
        <v>116</v>
      </c>
      <c r="GPD93" s="456" t="s">
        <v>116</v>
      </c>
      <c r="GPE93" s="456" t="s">
        <v>116</v>
      </c>
      <c r="GPF93" s="456" t="s">
        <v>116</v>
      </c>
      <c r="GPG93" s="456" t="s">
        <v>116</v>
      </c>
      <c r="GPH93" s="456" t="s">
        <v>116</v>
      </c>
      <c r="GPI93" s="456" t="s">
        <v>116</v>
      </c>
      <c r="GPJ93" s="456" t="s">
        <v>116</v>
      </c>
      <c r="GPK93" s="456" t="s">
        <v>116</v>
      </c>
      <c r="GPL93" s="456" t="s">
        <v>116</v>
      </c>
      <c r="GPM93" s="456" t="s">
        <v>116</v>
      </c>
      <c r="GPN93" s="456" t="s">
        <v>116</v>
      </c>
      <c r="GPO93" s="456" t="s">
        <v>116</v>
      </c>
      <c r="GPP93" s="456" t="s">
        <v>116</v>
      </c>
      <c r="GPQ93" s="456" t="s">
        <v>116</v>
      </c>
      <c r="GPR93" s="456" t="s">
        <v>116</v>
      </c>
      <c r="GPS93" s="456" t="s">
        <v>116</v>
      </c>
      <c r="GPT93" s="456" t="s">
        <v>116</v>
      </c>
      <c r="GPU93" s="456" t="s">
        <v>116</v>
      </c>
      <c r="GPV93" s="456" t="s">
        <v>116</v>
      </c>
      <c r="GPW93" s="456" t="s">
        <v>116</v>
      </c>
      <c r="GPX93" s="456" t="s">
        <v>116</v>
      </c>
      <c r="GPY93" s="456" t="s">
        <v>116</v>
      </c>
      <c r="GPZ93" s="456" t="s">
        <v>116</v>
      </c>
      <c r="GQA93" s="456" t="s">
        <v>116</v>
      </c>
      <c r="GQB93" s="456" t="s">
        <v>116</v>
      </c>
      <c r="GQC93" s="456" t="s">
        <v>116</v>
      </c>
      <c r="GQD93" s="456" t="s">
        <v>116</v>
      </c>
      <c r="GQE93" s="456" t="s">
        <v>116</v>
      </c>
      <c r="GQF93" s="456" t="s">
        <v>116</v>
      </c>
      <c r="GQG93" s="456" t="s">
        <v>116</v>
      </c>
      <c r="GQH93" s="456" t="s">
        <v>116</v>
      </c>
      <c r="GQI93" s="456" t="s">
        <v>116</v>
      </c>
      <c r="GQJ93" s="456" t="s">
        <v>116</v>
      </c>
      <c r="GQK93" s="456" t="s">
        <v>116</v>
      </c>
      <c r="GQL93" s="456" t="s">
        <v>116</v>
      </c>
      <c r="GQM93" s="456" t="s">
        <v>116</v>
      </c>
      <c r="GQN93" s="456" t="s">
        <v>116</v>
      </c>
      <c r="GQO93" s="456" t="s">
        <v>116</v>
      </c>
      <c r="GQP93" s="456" t="s">
        <v>116</v>
      </c>
      <c r="GQQ93" s="456" t="s">
        <v>116</v>
      </c>
      <c r="GQR93" s="456" t="s">
        <v>116</v>
      </c>
      <c r="GQS93" s="456" t="s">
        <v>116</v>
      </c>
      <c r="GQT93" s="456" t="s">
        <v>116</v>
      </c>
      <c r="GQU93" s="456" t="s">
        <v>116</v>
      </c>
      <c r="GQV93" s="456" t="s">
        <v>116</v>
      </c>
      <c r="GQW93" s="456" t="s">
        <v>116</v>
      </c>
      <c r="GQX93" s="456" t="s">
        <v>116</v>
      </c>
      <c r="GQY93" s="456" t="s">
        <v>116</v>
      </c>
      <c r="GQZ93" s="456" t="s">
        <v>116</v>
      </c>
      <c r="GRA93" s="456" t="s">
        <v>116</v>
      </c>
      <c r="GRB93" s="456" t="s">
        <v>116</v>
      </c>
      <c r="GRC93" s="456" t="s">
        <v>116</v>
      </c>
      <c r="GRD93" s="456" t="s">
        <v>116</v>
      </c>
      <c r="GRE93" s="456" t="s">
        <v>116</v>
      </c>
      <c r="GRF93" s="456" t="s">
        <v>116</v>
      </c>
      <c r="GRG93" s="456" t="s">
        <v>116</v>
      </c>
      <c r="GRH93" s="456" t="s">
        <v>116</v>
      </c>
      <c r="GRI93" s="456" t="s">
        <v>116</v>
      </c>
      <c r="GRJ93" s="456" t="s">
        <v>116</v>
      </c>
      <c r="GRK93" s="456" t="s">
        <v>116</v>
      </c>
      <c r="GRL93" s="456" t="s">
        <v>116</v>
      </c>
      <c r="GRM93" s="456" t="s">
        <v>116</v>
      </c>
      <c r="GRN93" s="456" t="s">
        <v>116</v>
      </c>
      <c r="GRO93" s="456" t="s">
        <v>116</v>
      </c>
      <c r="GRP93" s="456" t="s">
        <v>116</v>
      </c>
      <c r="GRQ93" s="456" t="s">
        <v>116</v>
      </c>
      <c r="GRR93" s="456" t="s">
        <v>116</v>
      </c>
      <c r="GRS93" s="456" t="s">
        <v>116</v>
      </c>
      <c r="GRT93" s="456" t="s">
        <v>116</v>
      </c>
      <c r="GRU93" s="456" t="s">
        <v>116</v>
      </c>
      <c r="GRV93" s="456" t="s">
        <v>116</v>
      </c>
      <c r="GRW93" s="456" t="s">
        <v>116</v>
      </c>
      <c r="GRX93" s="456" t="s">
        <v>116</v>
      </c>
      <c r="GRY93" s="456" t="s">
        <v>116</v>
      </c>
      <c r="GRZ93" s="456" t="s">
        <v>116</v>
      </c>
      <c r="GSA93" s="456" t="s">
        <v>116</v>
      </c>
      <c r="GSB93" s="456" t="s">
        <v>116</v>
      </c>
      <c r="GSC93" s="456" t="s">
        <v>116</v>
      </c>
      <c r="GSD93" s="456" t="s">
        <v>116</v>
      </c>
      <c r="GSE93" s="456" t="s">
        <v>116</v>
      </c>
      <c r="GSF93" s="456" t="s">
        <v>116</v>
      </c>
      <c r="GSG93" s="456" t="s">
        <v>116</v>
      </c>
      <c r="GSH93" s="456" t="s">
        <v>116</v>
      </c>
      <c r="GSI93" s="456" t="s">
        <v>116</v>
      </c>
      <c r="GSJ93" s="456" t="s">
        <v>116</v>
      </c>
      <c r="GSK93" s="456" t="s">
        <v>116</v>
      </c>
      <c r="GSL93" s="456" t="s">
        <v>116</v>
      </c>
      <c r="GSM93" s="456" t="s">
        <v>116</v>
      </c>
      <c r="GSN93" s="456" t="s">
        <v>116</v>
      </c>
      <c r="GSO93" s="456" t="s">
        <v>116</v>
      </c>
      <c r="GSP93" s="456" t="s">
        <v>116</v>
      </c>
      <c r="GSQ93" s="456" t="s">
        <v>116</v>
      </c>
      <c r="GSR93" s="456" t="s">
        <v>116</v>
      </c>
      <c r="GSS93" s="456" t="s">
        <v>116</v>
      </c>
      <c r="GST93" s="456" t="s">
        <v>116</v>
      </c>
      <c r="GSU93" s="456" t="s">
        <v>116</v>
      </c>
      <c r="GSV93" s="456" t="s">
        <v>116</v>
      </c>
      <c r="GSW93" s="456" t="s">
        <v>116</v>
      </c>
      <c r="GSX93" s="456" t="s">
        <v>116</v>
      </c>
      <c r="GSY93" s="456" t="s">
        <v>116</v>
      </c>
      <c r="GSZ93" s="456" t="s">
        <v>116</v>
      </c>
      <c r="GTA93" s="456" t="s">
        <v>116</v>
      </c>
      <c r="GTB93" s="456" t="s">
        <v>116</v>
      </c>
      <c r="GTC93" s="456" t="s">
        <v>116</v>
      </c>
      <c r="GTD93" s="456" t="s">
        <v>116</v>
      </c>
      <c r="GTE93" s="456" t="s">
        <v>116</v>
      </c>
      <c r="GTF93" s="456" t="s">
        <v>116</v>
      </c>
      <c r="GTG93" s="456" t="s">
        <v>116</v>
      </c>
      <c r="GTH93" s="456" t="s">
        <v>116</v>
      </c>
      <c r="GTI93" s="456" t="s">
        <v>116</v>
      </c>
      <c r="GTJ93" s="456" t="s">
        <v>116</v>
      </c>
      <c r="GTK93" s="456" t="s">
        <v>116</v>
      </c>
      <c r="GTL93" s="456" t="s">
        <v>116</v>
      </c>
      <c r="GTM93" s="456" t="s">
        <v>116</v>
      </c>
      <c r="GTN93" s="456" t="s">
        <v>116</v>
      </c>
      <c r="GTO93" s="456" t="s">
        <v>116</v>
      </c>
      <c r="GTP93" s="456" t="s">
        <v>116</v>
      </c>
      <c r="GTQ93" s="456" t="s">
        <v>116</v>
      </c>
      <c r="GTR93" s="456" t="s">
        <v>116</v>
      </c>
      <c r="GTS93" s="456" t="s">
        <v>116</v>
      </c>
      <c r="GTT93" s="456" t="s">
        <v>116</v>
      </c>
      <c r="GTU93" s="456" t="s">
        <v>116</v>
      </c>
      <c r="GTV93" s="456" t="s">
        <v>116</v>
      </c>
      <c r="GTW93" s="456" t="s">
        <v>116</v>
      </c>
      <c r="GTX93" s="456" t="s">
        <v>116</v>
      </c>
      <c r="GTY93" s="456" t="s">
        <v>116</v>
      </c>
      <c r="GTZ93" s="456" t="s">
        <v>116</v>
      </c>
      <c r="GUA93" s="456" t="s">
        <v>116</v>
      </c>
      <c r="GUB93" s="456" t="s">
        <v>116</v>
      </c>
      <c r="GUC93" s="456" t="s">
        <v>116</v>
      </c>
      <c r="GUD93" s="456" t="s">
        <v>116</v>
      </c>
      <c r="GUE93" s="456" t="s">
        <v>116</v>
      </c>
      <c r="GUF93" s="456" t="s">
        <v>116</v>
      </c>
      <c r="GUG93" s="456" t="s">
        <v>116</v>
      </c>
      <c r="GUH93" s="456" t="s">
        <v>116</v>
      </c>
      <c r="GUI93" s="456" t="s">
        <v>116</v>
      </c>
      <c r="GUJ93" s="456" t="s">
        <v>116</v>
      </c>
      <c r="GUK93" s="456" t="s">
        <v>116</v>
      </c>
      <c r="GUL93" s="456" t="s">
        <v>116</v>
      </c>
      <c r="GUM93" s="456" t="s">
        <v>116</v>
      </c>
      <c r="GUN93" s="456" t="s">
        <v>116</v>
      </c>
      <c r="GUO93" s="456" t="s">
        <v>116</v>
      </c>
      <c r="GUP93" s="456" t="s">
        <v>116</v>
      </c>
      <c r="GUQ93" s="456" t="s">
        <v>116</v>
      </c>
      <c r="GUR93" s="456" t="s">
        <v>116</v>
      </c>
      <c r="GUS93" s="456" t="s">
        <v>116</v>
      </c>
      <c r="GUT93" s="456" t="s">
        <v>116</v>
      </c>
      <c r="GUU93" s="456" t="s">
        <v>116</v>
      </c>
      <c r="GUV93" s="456" t="s">
        <v>116</v>
      </c>
      <c r="GUW93" s="456" t="s">
        <v>116</v>
      </c>
      <c r="GUX93" s="456" t="s">
        <v>116</v>
      </c>
      <c r="GUY93" s="456" t="s">
        <v>116</v>
      </c>
      <c r="GUZ93" s="456" t="s">
        <v>116</v>
      </c>
      <c r="GVA93" s="456" t="s">
        <v>116</v>
      </c>
      <c r="GVB93" s="456" t="s">
        <v>116</v>
      </c>
      <c r="GVC93" s="456" t="s">
        <v>116</v>
      </c>
      <c r="GVD93" s="456" t="s">
        <v>116</v>
      </c>
      <c r="GVE93" s="456" t="s">
        <v>116</v>
      </c>
      <c r="GVF93" s="456" t="s">
        <v>116</v>
      </c>
      <c r="GVG93" s="456" t="s">
        <v>116</v>
      </c>
      <c r="GVH93" s="456" t="s">
        <v>116</v>
      </c>
      <c r="GVI93" s="456" t="s">
        <v>116</v>
      </c>
      <c r="GVJ93" s="456" t="s">
        <v>116</v>
      </c>
      <c r="GVK93" s="456" t="s">
        <v>116</v>
      </c>
      <c r="GVL93" s="456" t="s">
        <v>116</v>
      </c>
      <c r="GVM93" s="456" t="s">
        <v>116</v>
      </c>
      <c r="GVN93" s="456" t="s">
        <v>116</v>
      </c>
      <c r="GVO93" s="456" t="s">
        <v>116</v>
      </c>
      <c r="GVP93" s="456" t="s">
        <v>116</v>
      </c>
      <c r="GVQ93" s="456" t="s">
        <v>116</v>
      </c>
      <c r="GVR93" s="456" t="s">
        <v>116</v>
      </c>
      <c r="GVS93" s="456" t="s">
        <v>116</v>
      </c>
      <c r="GVT93" s="456" t="s">
        <v>116</v>
      </c>
      <c r="GVU93" s="456" t="s">
        <v>116</v>
      </c>
      <c r="GVV93" s="456" t="s">
        <v>116</v>
      </c>
      <c r="GVW93" s="456" t="s">
        <v>116</v>
      </c>
      <c r="GVX93" s="456" t="s">
        <v>116</v>
      </c>
      <c r="GVY93" s="456" t="s">
        <v>116</v>
      </c>
      <c r="GVZ93" s="456" t="s">
        <v>116</v>
      </c>
      <c r="GWA93" s="456" t="s">
        <v>116</v>
      </c>
      <c r="GWB93" s="456" t="s">
        <v>116</v>
      </c>
      <c r="GWC93" s="456" t="s">
        <v>116</v>
      </c>
      <c r="GWD93" s="456" t="s">
        <v>116</v>
      </c>
      <c r="GWE93" s="456" t="s">
        <v>116</v>
      </c>
      <c r="GWF93" s="456" t="s">
        <v>116</v>
      </c>
      <c r="GWG93" s="456" t="s">
        <v>116</v>
      </c>
      <c r="GWH93" s="456" t="s">
        <v>116</v>
      </c>
      <c r="GWI93" s="456" t="s">
        <v>116</v>
      </c>
      <c r="GWJ93" s="456" t="s">
        <v>116</v>
      </c>
      <c r="GWK93" s="456" t="s">
        <v>116</v>
      </c>
      <c r="GWL93" s="456" t="s">
        <v>116</v>
      </c>
      <c r="GWM93" s="456" t="s">
        <v>116</v>
      </c>
      <c r="GWN93" s="456" t="s">
        <v>116</v>
      </c>
      <c r="GWO93" s="456" t="s">
        <v>116</v>
      </c>
      <c r="GWP93" s="456" t="s">
        <v>116</v>
      </c>
      <c r="GWQ93" s="456" t="s">
        <v>116</v>
      </c>
      <c r="GWR93" s="456" t="s">
        <v>116</v>
      </c>
      <c r="GWS93" s="456" t="s">
        <v>116</v>
      </c>
      <c r="GWT93" s="456" t="s">
        <v>116</v>
      </c>
      <c r="GWU93" s="456" t="s">
        <v>116</v>
      </c>
      <c r="GWV93" s="456" t="s">
        <v>116</v>
      </c>
      <c r="GWW93" s="456" t="s">
        <v>116</v>
      </c>
      <c r="GWX93" s="456" t="s">
        <v>116</v>
      </c>
      <c r="GWY93" s="456" t="s">
        <v>116</v>
      </c>
      <c r="GWZ93" s="456" t="s">
        <v>116</v>
      </c>
      <c r="GXA93" s="456" t="s">
        <v>116</v>
      </c>
      <c r="GXB93" s="456" t="s">
        <v>116</v>
      </c>
      <c r="GXC93" s="456" t="s">
        <v>116</v>
      </c>
      <c r="GXD93" s="456" t="s">
        <v>116</v>
      </c>
      <c r="GXE93" s="456" t="s">
        <v>116</v>
      </c>
      <c r="GXF93" s="456" t="s">
        <v>116</v>
      </c>
      <c r="GXG93" s="456" t="s">
        <v>116</v>
      </c>
      <c r="GXH93" s="456" t="s">
        <v>116</v>
      </c>
      <c r="GXI93" s="456" t="s">
        <v>116</v>
      </c>
      <c r="GXJ93" s="456" t="s">
        <v>116</v>
      </c>
      <c r="GXK93" s="456" t="s">
        <v>116</v>
      </c>
      <c r="GXL93" s="456" t="s">
        <v>116</v>
      </c>
      <c r="GXM93" s="456" t="s">
        <v>116</v>
      </c>
      <c r="GXN93" s="456" t="s">
        <v>116</v>
      </c>
      <c r="GXO93" s="456" t="s">
        <v>116</v>
      </c>
      <c r="GXP93" s="456" t="s">
        <v>116</v>
      </c>
      <c r="GXQ93" s="456" t="s">
        <v>116</v>
      </c>
      <c r="GXR93" s="456" t="s">
        <v>116</v>
      </c>
      <c r="GXS93" s="456" t="s">
        <v>116</v>
      </c>
      <c r="GXT93" s="456" t="s">
        <v>116</v>
      </c>
      <c r="GXU93" s="456" t="s">
        <v>116</v>
      </c>
      <c r="GXV93" s="456" t="s">
        <v>116</v>
      </c>
      <c r="GXW93" s="456" t="s">
        <v>116</v>
      </c>
      <c r="GXX93" s="456" t="s">
        <v>116</v>
      </c>
      <c r="GXY93" s="456" t="s">
        <v>116</v>
      </c>
      <c r="GXZ93" s="456" t="s">
        <v>116</v>
      </c>
      <c r="GYA93" s="456" t="s">
        <v>116</v>
      </c>
      <c r="GYB93" s="456" t="s">
        <v>116</v>
      </c>
      <c r="GYC93" s="456" t="s">
        <v>116</v>
      </c>
      <c r="GYD93" s="456" t="s">
        <v>116</v>
      </c>
      <c r="GYE93" s="456" t="s">
        <v>116</v>
      </c>
      <c r="GYF93" s="456" t="s">
        <v>116</v>
      </c>
      <c r="GYG93" s="456" t="s">
        <v>116</v>
      </c>
      <c r="GYH93" s="456" t="s">
        <v>116</v>
      </c>
      <c r="GYI93" s="456" t="s">
        <v>116</v>
      </c>
      <c r="GYJ93" s="456" t="s">
        <v>116</v>
      </c>
      <c r="GYK93" s="456" t="s">
        <v>116</v>
      </c>
      <c r="GYL93" s="456" t="s">
        <v>116</v>
      </c>
      <c r="GYM93" s="456" t="s">
        <v>116</v>
      </c>
      <c r="GYN93" s="456" t="s">
        <v>116</v>
      </c>
      <c r="GYO93" s="456" t="s">
        <v>116</v>
      </c>
      <c r="GYP93" s="456" t="s">
        <v>116</v>
      </c>
      <c r="GYQ93" s="456" t="s">
        <v>116</v>
      </c>
      <c r="GYR93" s="456" t="s">
        <v>116</v>
      </c>
      <c r="GYS93" s="456" t="s">
        <v>116</v>
      </c>
      <c r="GYT93" s="456" t="s">
        <v>116</v>
      </c>
      <c r="GYU93" s="456" t="s">
        <v>116</v>
      </c>
      <c r="GYV93" s="456" t="s">
        <v>116</v>
      </c>
      <c r="GYW93" s="456" t="s">
        <v>116</v>
      </c>
      <c r="GYX93" s="456" t="s">
        <v>116</v>
      </c>
      <c r="GYY93" s="456" t="s">
        <v>116</v>
      </c>
      <c r="GYZ93" s="456" t="s">
        <v>116</v>
      </c>
      <c r="GZA93" s="456" t="s">
        <v>116</v>
      </c>
      <c r="GZB93" s="456" t="s">
        <v>116</v>
      </c>
      <c r="GZC93" s="456" t="s">
        <v>116</v>
      </c>
      <c r="GZD93" s="456" t="s">
        <v>116</v>
      </c>
      <c r="GZE93" s="456" t="s">
        <v>116</v>
      </c>
      <c r="GZF93" s="456" t="s">
        <v>116</v>
      </c>
      <c r="GZG93" s="456" t="s">
        <v>116</v>
      </c>
      <c r="GZH93" s="456" t="s">
        <v>116</v>
      </c>
      <c r="GZI93" s="456" t="s">
        <v>116</v>
      </c>
      <c r="GZJ93" s="456" t="s">
        <v>116</v>
      </c>
      <c r="GZK93" s="456" t="s">
        <v>116</v>
      </c>
      <c r="GZL93" s="456" t="s">
        <v>116</v>
      </c>
      <c r="GZM93" s="456" t="s">
        <v>116</v>
      </c>
      <c r="GZN93" s="456" t="s">
        <v>116</v>
      </c>
      <c r="GZO93" s="456" t="s">
        <v>116</v>
      </c>
      <c r="GZP93" s="456" t="s">
        <v>116</v>
      </c>
      <c r="GZQ93" s="456" t="s">
        <v>116</v>
      </c>
      <c r="GZR93" s="456" t="s">
        <v>116</v>
      </c>
      <c r="GZS93" s="456" t="s">
        <v>116</v>
      </c>
      <c r="GZT93" s="456" t="s">
        <v>116</v>
      </c>
      <c r="GZU93" s="456" t="s">
        <v>116</v>
      </c>
      <c r="GZV93" s="456" t="s">
        <v>116</v>
      </c>
      <c r="GZW93" s="456" t="s">
        <v>116</v>
      </c>
      <c r="GZX93" s="456" t="s">
        <v>116</v>
      </c>
      <c r="GZY93" s="456" t="s">
        <v>116</v>
      </c>
      <c r="GZZ93" s="456" t="s">
        <v>116</v>
      </c>
      <c r="HAA93" s="456" t="s">
        <v>116</v>
      </c>
      <c r="HAB93" s="456" t="s">
        <v>116</v>
      </c>
      <c r="HAC93" s="456" t="s">
        <v>116</v>
      </c>
      <c r="HAD93" s="456" t="s">
        <v>116</v>
      </c>
      <c r="HAE93" s="456" t="s">
        <v>116</v>
      </c>
      <c r="HAF93" s="456" t="s">
        <v>116</v>
      </c>
      <c r="HAG93" s="456" t="s">
        <v>116</v>
      </c>
      <c r="HAH93" s="456" t="s">
        <v>116</v>
      </c>
      <c r="HAI93" s="456" t="s">
        <v>116</v>
      </c>
      <c r="HAJ93" s="456" t="s">
        <v>116</v>
      </c>
      <c r="HAK93" s="456" t="s">
        <v>116</v>
      </c>
      <c r="HAL93" s="456" t="s">
        <v>116</v>
      </c>
      <c r="HAM93" s="456" t="s">
        <v>116</v>
      </c>
      <c r="HAN93" s="456" t="s">
        <v>116</v>
      </c>
      <c r="HAO93" s="456" t="s">
        <v>116</v>
      </c>
      <c r="HAP93" s="456" t="s">
        <v>116</v>
      </c>
      <c r="HAQ93" s="456" t="s">
        <v>116</v>
      </c>
      <c r="HAR93" s="456" t="s">
        <v>116</v>
      </c>
      <c r="HAS93" s="456" t="s">
        <v>116</v>
      </c>
      <c r="HAT93" s="456" t="s">
        <v>116</v>
      </c>
      <c r="HAU93" s="456" t="s">
        <v>116</v>
      </c>
      <c r="HAV93" s="456" t="s">
        <v>116</v>
      </c>
      <c r="HAW93" s="456" t="s">
        <v>116</v>
      </c>
      <c r="HAX93" s="456" t="s">
        <v>116</v>
      </c>
      <c r="HAY93" s="456" t="s">
        <v>116</v>
      </c>
      <c r="HAZ93" s="456" t="s">
        <v>116</v>
      </c>
      <c r="HBA93" s="456" t="s">
        <v>116</v>
      </c>
      <c r="HBB93" s="456" t="s">
        <v>116</v>
      </c>
      <c r="HBC93" s="456" t="s">
        <v>116</v>
      </c>
      <c r="HBD93" s="456" t="s">
        <v>116</v>
      </c>
      <c r="HBE93" s="456" t="s">
        <v>116</v>
      </c>
      <c r="HBF93" s="456" t="s">
        <v>116</v>
      </c>
      <c r="HBG93" s="456" t="s">
        <v>116</v>
      </c>
      <c r="HBH93" s="456" t="s">
        <v>116</v>
      </c>
      <c r="HBI93" s="456" t="s">
        <v>116</v>
      </c>
      <c r="HBJ93" s="456" t="s">
        <v>116</v>
      </c>
      <c r="HBK93" s="456" t="s">
        <v>116</v>
      </c>
      <c r="HBL93" s="456" t="s">
        <v>116</v>
      </c>
      <c r="HBM93" s="456" t="s">
        <v>116</v>
      </c>
      <c r="HBN93" s="456" t="s">
        <v>116</v>
      </c>
      <c r="HBO93" s="456" t="s">
        <v>116</v>
      </c>
      <c r="HBP93" s="456" t="s">
        <v>116</v>
      </c>
      <c r="HBQ93" s="456" t="s">
        <v>116</v>
      </c>
      <c r="HBR93" s="456" t="s">
        <v>116</v>
      </c>
      <c r="HBS93" s="456" t="s">
        <v>116</v>
      </c>
      <c r="HBT93" s="456" t="s">
        <v>116</v>
      </c>
      <c r="HBU93" s="456" t="s">
        <v>116</v>
      </c>
      <c r="HBV93" s="456" t="s">
        <v>116</v>
      </c>
      <c r="HBW93" s="456" t="s">
        <v>116</v>
      </c>
      <c r="HBX93" s="456" t="s">
        <v>116</v>
      </c>
      <c r="HBY93" s="456" t="s">
        <v>116</v>
      </c>
      <c r="HBZ93" s="456" t="s">
        <v>116</v>
      </c>
      <c r="HCA93" s="456" t="s">
        <v>116</v>
      </c>
      <c r="HCB93" s="456" t="s">
        <v>116</v>
      </c>
      <c r="HCC93" s="456" t="s">
        <v>116</v>
      </c>
      <c r="HCD93" s="456" t="s">
        <v>116</v>
      </c>
      <c r="HCE93" s="456" t="s">
        <v>116</v>
      </c>
      <c r="HCF93" s="456" t="s">
        <v>116</v>
      </c>
      <c r="HCG93" s="456" t="s">
        <v>116</v>
      </c>
      <c r="HCH93" s="456" t="s">
        <v>116</v>
      </c>
      <c r="HCI93" s="456" t="s">
        <v>116</v>
      </c>
      <c r="HCJ93" s="456" t="s">
        <v>116</v>
      </c>
      <c r="HCK93" s="456" t="s">
        <v>116</v>
      </c>
      <c r="HCL93" s="456" t="s">
        <v>116</v>
      </c>
      <c r="HCM93" s="456" t="s">
        <v>116</v>
      </c>
      <c r="HCN93" s="456" t="s">
        <v>116</v>
      </c>
      <c r="HCO93" s="456" t="s">
        <v>116</v>
      </c>
      <c r="HCP93" s="456" t="s">
        <v>116</v>
      </c>
      <c r="HCQ93" s="456" t="s">
        <v>116</v>
      </c>
      <c r="HCR93" s="456" t="s">
        <v>116</v>
      </c>
      <c r="HCS93" s="456" t="s">
        <v>116</v>
      </c>
      <c r="HCT93" s="456" t="s">
        <v>116</v>
      </c>
      <c r="HCU93" s="456" t="s">
        <v>116</v>
      </c>
      <c r="HCV93" s="456" t="s">
        <v>116</v>
      </c>
      <c r="HCW93" s="456" t="s">
        <v>116</v>
      </c>
      <c r="HCX93" s="456" t="s">
        <v>116</v>
      </c>
      <c r="HCY93" s="456" t="s">
        <v>116</v>
      </c>
      <c r="HCZ93" s="456" t="s">
        <v>116</v>
      </c>
      <c r="HDA93" s="456" t="s">
        <v>116</v>
      </c>
      <c r="HDB93" s="456" t="s">
        <v>116</v>
      </c>
      <c r="HDC93" s="456" t="s">
        <v>116</v>
      </c>
      <c r="HDD93" s="456" t="s">
        <v>116</v>
      </c>
      <c r="HDE93" s="456" t="s">
        <v>116</v>
      </c>
      <c r="HDF93" s="456" t="s">
        <v>116</v>
      </c>
      <c r="HDG93" s="456" t="s">
        <v>116</v>
      </c>
      <c r="HDH93" s="456" t="s">
        <v>116</v>
      </c>
      <c r="HDI93" s="456" t="s">
        <v>116</v>
      </c>
      <c r="HDJ93" s="456" t="s">
        <v>116</v>
      </c>
      <c r="HDK93" s="456" t="s">
        <v>116</v>
      </c>
      <c r="HDL93" s="456" t="s">
        <v>116</v>
      </c>
      <c r="HDM93" s="456" t="s">
        <v>116</v>
      </c>
      <c r="HDN93" s="456" t="s">
        <v>116</v>
      </c>
      <c r="HDO93" s="456" t="s">
        <v>116</v>
      </c>
      <c r="HDP93" s="456" t="s">
        <v>116</v>
      </c>
      <c r="HDQ93" s="456" t="s">
        <v>116</v>
      </c>
      <c r="HDR93" s="456" t="s">
        <v>116</v>
      </c>
      <c r="HDS93" s="456" t="s">
        <v>116</v>
      </c>
      <c r="HDT93" s="456" t="s">
        <v>116</v>
      </c>
      <c r="HDU93" s="456" t="s">
        <v>116</v>
      </c>
      <c r="HDV93" s="456" t="s">
        <v>116</v>
      </c>
      <c r="HDW93" s="456" t="s">
        <v>116</v>
      </c>
      <c r="HDX93" s="456" t="s">
        <v>116</v>
      </c>
      <c r="HDY93" s="456" t="s">
        <v>116</v>
      </c>
      <c r="HDZ93" s="456" t="s">
        <v>116</v>
      </c>
      <c r="HEA93" s="456" t="s">
        <v>116</v>
      </c>
      <c r="HEB93" s="456" t="s">
        <v>116</v>
      </c>
      <c r="HEC93" s="456" t="s">
        <v>116</v>
      </c>
      <c r="HED93" s="456" t="s">
        <v>116</v>
      </c>
      <c r="HEE93" s="456" t="s">
        <v>116</v>
      </c>
      <c r="HEF93" s="456" t="s">
        <v>116</v>
      </c>
      <c r="HEG93" s="456" t="s">
        <v>116</v>
      </c>
      <c r="HEH93" s="456" t="s">
        <v>116</v>
      </c>
      <c r="HEI93" s="456" t="s">
        <v>116</v>
      </c>
      <c r="HEJ93" s="456" t="s">
        <v>116</v>
      </c>
      <c r="HEK93" s="456" t="s">
        <v>116</v>
      </c>
      <c r="HEL93" s="456" t="s">
        <v>116</v>
      </c>
      <c r="HEM93" s="456" t="s">
        <v>116</v>
      </c>
      <c r="HEN93" s="456" t="s">
        <v>116</v>
      </c>
      <c r="HEO93" s="456" t="s">
        <v>116</v>
      </c>
      <c r="HEP93" s="456" t="s">
        <v>116</v>
      </c>
      <c r="HEQ93" s="456" t="s">
        <v>116</v>
      </c>
      <c r="HER93" s="456" t="s">
        <v>116</v>
      </c>
      <c r="HES93" s="456" t="s">
        <v>116</v>
      </c>
      <c r="HET93" s="456" t="s">
        <v>116</v>
      </c>
      <c r="HEU93" s="456" t="s">
        <v>116</v>
      </c>
      <c r="HEV93" s="456" t="s">
        <v>116</v>
      </c>
      <c r="HEW93" s="456" t="s">
        <v>116</v>
      </c>
      <c r="HEX93" s="456" t="s">
        <v>116</v>
      </c>
      <c r="HEY93" s="456" t="s">
        <v>116</v>
      </c>
      <c r="HEZ93" s="456" t="s">
        <v>116</v>
      </c>
      <c r="HFA93" s="456" t="s">
        <v>116</v>
      </c>
      <c r="HFB93" s="456" t="s">
        <v>116</v>
      </c>
      <c r="HFC93" s="456" t="s">
        <v>116</v>
      </c>
      <c r="HFD93" s="456" t="s">
        <v>116</v>
      </c>
      <c r="HFE93" s="456" t="s">
        <v>116</v>
      </c>
      <c r="HFF93" s="456" t="s">
        <v>116</v>
      </c>
      <c r="HFG93" s="456" t="s">
        <v>116</v>
      </c>
      <c r="HFH93" s="456" t="s">
        <v>116</v>
      </c>
      <c r="HFI93" s="456" t="s">
        <v>116</v>
      </c>
      <c r="HFJ93" s="456" t="s">
        <v>116</v>
      </c>
      <c r="HFK93" s="456" t="s">
        <v>116</v>
      </c>
      <c r="HFL93" s="456" t="s">
        <v>116</v>
      </c>
      <c r="HFM93" s="456" t="s">
        <v>116</v>
      </c>
      <c r="HFN93" s="456" t="s">
        <v>116</v>
      </c>
      <c r="HFO93" s="456" t="s">
        <v>116</v>
      </c>
      <c r="HFP93" s="456" t="s">
        <v>116</v>
      </c>
      <c r="HFQ93" s="456" t="s">
        <v>116</v>
      </c>
      <c r="HFR93" s="456" t="s">
        <v>116</v>
      </c>
      <c r="HFS93" s="456" t="s">
        <v>116</v>
      </c>
      <c r="HFT93" s="456" t="s">
        <v>116</v>
      </c>
      <c r="HFU93" s="456" t="s">
        <v>116</v>
      </c>
      <c r="HFV93" s="456" t="s">
        <v>116</v>
      </c>
      <c r="HFW93" s="456" t="s">
        <v>116</v>
      </c>
      <c r="HFX93" s="456" t="s">
        <v>116</v>
      </c>
      <c r="HFY93" s="456" t="s">
        <v>116</v>
      </c>
      <c r="HFZ93" s="456" t="s">
        <v>116</v>
      </c>
      <c r="HGA93" s="456" t="s">
        <v>116</v>
      </c>
      <c r="HGB93" s="456" t="s">
        <v>116</v>
      </c>
      <c r="HGC93" s="456" t="s">
        <v>116</v>
      </c>
      <c r="HGD93" s="456" t="s">
        <v>116</v>
      </c>
      <c r="HGE93" s="456" t="s">
        <v>116</v>
      </c>
      <c r="HGF93" s="456" t="s">
        <v>116</v>
      </c>
      <c r="HGG93" s="456" t="s">
        <v>116</v>
      </c>
      <c r="HGH93" s="456" t="s">
        <v>116</v>
      </c>
      <c r="HGI93" s="456" t="s">
        <v>116</v>
      </c>
      <c r="HGJ93" s="456" t="s">
        <v>116</v>
      </c>
      <c r="HGK93" s="456" t="s">
        <v>116</v>
      </c>
      <c r="HGL93" s="456" t="s">
        <v>116</v>
      </c>
      <c r="HGM93" s="456" t="s">
        <v>116</v>
      </c>
      <c r="HGN93" s="456" t="s">
        <v>116</v>
      </c>
      <c r="HGO93" s="456" t="s">
        <v>116</v>
      </c>
      <c r="HGP93" s="456" t="s">
        <v>116</v>
      </c>
      <c r="HGQ93" s="456" t="s">
        <v>116</v>
      </c>
      <c r="HGR93" s="456" t="s">
        <v>116</v>
      </c>
      <c r="HGS93" s="456" t="s">
        <v>116</v>
      </c>
      <c r="HGT93" s="456" t="s">
        <v>116</v>
      </c>
      <c r="HGU93" s="456" t="s">
        <v>116</v>
      </c>
      <c r="HGV93" s="456" t="s">
        <v>116</v>
      </c>
      <c r="HGW93" s="456" t="s">
        <v>116</v>
      </c>
      <c r="HGX93" s="456" t="s">
        <v>116</v>
      </c>
      <c r="HGY93" s="456" t="s">
        <v>116</v>
      </c>
      <c r="HGZ93" s="456" t="s">
        <v>116</v>
      </c>
      <c r="HHA93" s="456" t="s">
        <v>116</v>
      </c>
      <c r="HHB93" s="456" t="s">
        <v>116</v>
      </c>
      <c r="HHC93" s="456" t="s">
        <v>116</v>
      </c>
      <c r="HHD93" s="456" t="s">
        <v>116</v>
      </c>
      <c r="HHE93" s="456" t="s">
        <v>116</v>
      </c>
      <c r="HHF93" s="456" t="s">
        <v>116</v>
      </c>
      <c r="HHG93" s="456" t="s">
        <v>116</v>
      </c>
      <c r="HHH93" s="456" t="s">
        <v>116</v>
      </c>
      <c r="HHI93" s="456" t="s">
        <v>116</v>
      </c>
      <c r="HHJ93" s="456" t="s">
        <v>116</v>
      </c>
      <c r="HHK93" s="456" t="s">
        <v>116</v>
      </c>
      <c r="HHL93" s="456" t="s">
        <v>116</v>
      </c>
      <c r="HHM93" s="456" t="s">
        <v>116</v>
      </c>
      <c r="HHN93" s="456" t="s">
        <v>116</v>
      </c>
      <c r="HHO93" s="456" t="s">
        <v>116</v>
      </c>
      <c r="HHP93" s="456" t="s">
        <v>116</v>
      </c>
      <c r="HHQ93" s="456" t="s">
        <v>116</v>
      </c>
      <c r="HHR93" s="456" t="s">
        <v>116</v>
      </c>
      <c r="HHS93" s="456" t="s">
        <v>116</v>
      </c>
      <c r="HHT93" s="456" t="s">
        <v>116</v>
      </c>
      <c r="HHU93" s="456" t="s">
        <v>116</v>
      </c>
      <c r="HHV93" s="456" t="s">
        <v>116</v>
      </c>
      <c r="HHW93" s="456" t="s">
        <v>116</v>
      </c>
      <c r="HHX93" s="456" t="s">
        <v>116</v>
      </c>
      <c r="HHY93" s="456" t="s">
        <v>116</v>
      </c>
      <c r="HHZ93" s="456" t="s">
        <v>116</v>
      </c>
      <c r="HIA93" s="456" t="s">
        <v>116</v>
      </c>
      <c r="HIB93" s="456" t="s">
        <v>116</v>
      </c>
      <c r="HIC93" s="456" t="s">
        <v>116</v>
      </c>
      <c r="HID93" s="456" t="s">
        <v>116</v>
      </c>
      <c r="HIE93" s="456" t="s">
        <v>116</v>
      </c>
      <c r="HIF93" s="456" t="s">
        <v>116</v>
      </c>
      <c r="HIG93" s="456" t="s">
        <v>116</v>
      </c>
      <c r="HIH93" s="456" t="s">
        <v>116</v>
      </c>
      <c r="HII93" s="456" t="s">
        <v>116</v>
      </c>
      <c r="HIJ93" s="456" t="s">
        <v>116</v>
      </c>
      <c r="HIK93" s="456" t="s">
        <v>116</v>
      </c>
      <c r="HIL93" s="456" t="s">
        <v>116</v>
      </c>
      <c r="HIM93" s="456" t="s">
        <v>116</v>
      </c>
      <c r="HIN93" s="456" t="s">
        <v>116</v>
      </c>
      <c r="HIO93" s="456" t="s">
        <v>116</v>
      </c>
      <c r="HIP93" s="456" t="s">
        <v>116</v>
      </c>
      <c r="HIQ93" s="456" t="s">
        <v>116</v>
      </c>
      <c r="HIR93" s="456" t="s">
        <v>116</v>
      </c>
      <c r="HIS93" s="456" t="s">
        <v>116</v>
      </c>
      <c r="HIT93" s="456" t="s">
        <v>116</v>
      </c>
      <c r="HIU93" s="456" t="s">
        <v>116</v>
      </c>
      <c r="HIV93" s="456" t="s">
        <v>116</v>
      </c>
      <c r="HIW93" s="456" t="s">
        <v>116</v>
      </c>
      <c r="HIX93" s="456" t="s">
        <v>116</v>
      </c>
      <c r="HIY93" s="456" t="s">
        <v>116</v>
      </c>
      <c r="HIZ93" s="456" t="s">
        <v>116</v>
      </c>
      <c r="HJA93" s="456" t="s">
        <v>116</v>
      </c>
      <c r="HJB93" s="456" t="s">
        <v>116</v>
      </c>
      <c r="HJC93" s="456" t="s">
        <v>116</v>
      </c>
      <c r="HJD93" s="456" t="s">
        <v>116</v>
      </c>
      <c r="HJE93" s="456" t="s">
        <v>116</v>
      </c>
      <c r="HJF93" s="456" t="s">
        <v>116</v>
      </c>
      <c r="HJG93" s="456" t="s">
        <v>116</v>
      </c>
      <c r="HJH93" s="456" t="s">
        <v>116</v>
      </c>
      <c r="HJI93" s="456" t="s">
        <v>116</v>
      </c>
      <c r="HJJ93" s="456" t="s">
        <v>116</v>
      </c>
      <c r="HJK93" s="456" t="s">
        <v>116</v>
      </c>
      <c r="HJL93" s="456" t="s">
        <v>116</v>
      </c>
      <c r="HJM93" s="456" t="s">
        <v>116</v>
      </c>
      <c r="HJN93" s="456" t="s">
        <v>116</v>
      </c>
      <c r="HJO93" s="456" t="s">
        <v>116</v>
      </c>
      <c r="HJP93" s="456" t="s">
        <v>116</v>
      </c>
      <c r="HJQ93" s="456" t="s">
        <v>116</v>
      </c>
      <c r="HJR93" s="456" t="s">
        <v>116</v>
      </c>
      <c r="HJS93" s="456" t="s">
        <v>116</v>
      </c>
      <c r="HJT93" s="456" t="s">
        <v>116</v>
      </c>
      <c r="HJU93" s="456" t="s">
        <v>116</v>
      </c>
      <c r="HJV93" s="456" t="s">
        <v>116</v>
      </c>
      <c r="HJW93" s="456" t="s">
        <v>116</v>
      </c>
      <c r="HJX93" s="456" t="s">
        <v>116</v>
      </c>
      <c r="HJY93" s="456" t="s">
        <v>116</v>
      </c>
      <c r="HJZ93" s="456" t="s">
        <v>116</v>
      </c>
      <c r="HKA93" s="456" t="s">
        <v>116</v>
      </c>
      <c r="HKB93" s="456" t="s">
        <v>116</v>
      </c>
      <c r="HKC93" s="456" t="s">
        <v>116</v>
      </c>
      <c r="HKD93" s="456" t="s">
        <v>116</v>
      </c>
      <c r="HKE93" s="456" t="s">
        <v>116</v>
      </c>
      <c r="HKF93" s="456" t="s">
        <v>116</v>
      </c>
      <c r="HKG93" s="456" t="s">
        <v>116</v>
      </c>
      <c r="HKH93" s="456" t="s">
        <v>116</v>
      </c>
      <c r="HKI93" s="456" t="s">
        <v>116</v>
      </c>
      <c r="HKJ93" s="456" t="s">
        <v>116</v>
      </c>
      <c r="HKK93" s="456" t="s">
        <v>116</v>
      </c>
      <c r="HKL93" s="456" t="s">
        <v>116</v>
      </c>
      <c r="HKM93" s="456" t="s">
        <v>116</v>
      </c>
      <c r="HKN93" s="456" t="s">
        <v>116</v>
      </c>
      <c r="HKO93" s="456" t="s">
        <v>116</v>
      </c>
      <c r="HKP93" s="456" t="s">
        <v>116</v>
      </c>
      <c r="HKQ93" s="456" t="s">
        <v>116</v>
      </c>
      <c r="HKR93" s="456" t="s">
        <v>116</v>
      </c>
      <c r="HKS93" s="456" t="s">
        <v>116</v>
      </c>
      <c r="HKT93" s="456" t="s">
        <v>116</v>
      </c>
      <c r="HKU93" s="456" t="s">
        <v>116</v>
      </c>
      <c r="HKV93" s="456" t="s">
        <v>116</v>
      </c>
      <c r="HKW93" s="456" t="s">
        <v>116</v>
      </c>
      <c r="HKX93" s="456" t="s">
        <v>116</v>
      </c>
      <c r="HKY93" s="456" t="s">
        <v>116</v>
      </c>
      <c r="HKZ93" s="456" t="s">
        <v>116</v>
      </c>
      <c r="HLA93" s="456" t="s">
        <v>116</v>
      </c>
      <c r="HLB93" s="456" t="s">
        <v>116</v>
      </c>
      <c r="HLC93" s="456" t="s">
        <v>116</v>
      </c>
      <c r="HLD93" s="456" t="s">
        <v>116</v>
      </c>
      <c r="HLE93" s="456" t="s">
        <v>116</v>
      </c>
      <c r="HLF93" s="456" t="s">
        <v>116</v>
      </c>
      <c r="HLG93" s="456" t="s">
        <v>116</v>
      </c>
      <c r="HLH93" s="456" t="s">
        <v>116</v>
      </c>
      <c r="HLI93" s="456" t="s">
        <v>116</v>
      </c>
      <c r="HLJ93" s="456" t="s">
        <v>116</v>
      </c>
      <c r="HLK93" s="456" t="s">
        <v>116</v>
      </c>
      <c r="HLL93" s="456" t="s">
        <v>116</v>
      </c>
      <c r="HLM93" s="456" t="s">
        <v>116</v>
      </c>
      <c r="HLN93" s="456" t="s">
        <v>116</v>
      </c>
      <c r="HLO93" s="456" t="s">
        <v>116</v>
      </c>
      <c r="HLP93" s="456" t="s">
        <v>116</v>
      </c>
      <c r="HLQ93" s="456" t="s">
        <v>116</v>
      </c>
      <c r="HLR93" s="456" t="s">
        <v>116</v>
      </c>
      <c r="HLS93" s="456" t="s">
        <v>116</v>
      </c>
      <c r="HLT93" s="456" t="s">
        <v>116</v>
      </c>
      <c r="HLU93" s="456" t="s">
        <v>116</v>
      </c>
      <c r="HLV93" s="456" t="s">
        <v>116</v>
      </c>
      <c r="HLW93" s="456" t="s">
        <v>116</v>
      </c>
      <c r="HLX93" s="456" t="s">
        <v>116</v>
      </c>
      <c r="HLY93" s="456" t="s">
        <v>116</v>
      </c>
      <c r="HLZ93" s="456" t="s">
        <v>116</v>
      </c>
      <c r="HMA93" s="456" t="s">
        <v>116</v>
      </c>
      <c r="HMB93" s="456" t="s">
        <v>116</v>
      </c>
      <c r="HMC93" s="456" t="s">
        <v>116</v>
      </c>
      <c r="HMD93" s="456" t="s">
        <v>116</v>
      </c>
      <c r="HME93" s="456" t="s">
        <v>116</v>
      </c>
      <c r="HMF93" s="456" t="s">
        <v>116</v>
      </c>
      <c r="HMG93" s="456" t="s">
        <v>116</v>
      </c>
      <c r="HMH93" s="456" t="s">
        <v>116</v>
      </c>
      <c r="HMI93" s="456" t="s">
        <v>116</v>
      </c>
      <c r="HMJ93" s="456" t="s">
        <v>116</v>
      </c>
      <c r="HMK93" s="456" t="s">
        <v>116</v>
      </c>
      <c r="HML93" s="456" t="s">
        <v>116</v>
      </c>
      <c r="HMM93" s="456" t="s">
        <v>116</v>
      </c>
      <c r="HMN93" s="456" t="s">
        <v>116</v>
      </c>
      <c r="HMO93" s="456" t="s">
        <v>116</v>
      </c>
      <c r="HMP93" s="456" t="s">
        <v>116</v>
      </c>
      <c r="HMQ93" s="456" t="s">
        <v>116</v>
      </c>
      <c r="HMR93" s="456" t="s">
        <v>116</v>
      </c>
      <c r="HMS93" s="456" t="s">
        <v>116</v>
      </c>
      <c r="HMT93" s="456" t="s">
        <v>116</v>
      </c>
      <c r="HMU93" s="456" t="s">
        <v>116</v>
      </c>
      <c r="HMV93" s="456" t="s">
        <v>116</v>
      </c>
      <c r="HMW93" s="456" t="s">
        <v>116</v>
      </c>
      <c r="HMX93" s="456" t="s">
        <v>116</v>
      </c>
      <c r="HMY93" s="456" t="s">
        <v>116</v>
      </c>
      <c r="HMZ93" s="456" t="s">
        <v>116</v>
      </c>
      <c r="HNA93" s="456" t="s">
        <v>116</v>
      </c>
      <c r="HNB93" s="456" t="s">
        <v>116</v>
      </c>
      <c r="HNC93" s="456" t="s">
        <v>116</v>
      </c>
      <c r="HND93" s="456" t="s">
        <v>116</v>
      </c>
      <c r="HNE93" s="456" t="s">
        <v>116</v>
      </c>
      <c r="HNF93" s="456" t="s">
        <v>116</v>
      </c>
      <c r="HNG93" s="456" t="s">
        <v>116</v>
      </c>
      <c r="HNH93" s="456" t="s">
        <v>116</v>
      </c>
      <c r="HNI93" s="456" t="s">
        <v>116</v>
      </c>
      <c r="HNJ93" s="456" t="s">
        <v>116</v>
      </c>
      <c r="HNK93" s="456" t="s">
        <v>116</v>
      </c>
      <c r="HNL93" s="456" t="s">
        <v>116</v>
      </c>
      <c r="HNM93" s="456" t="s">
        <v>116</v>
      </c>
      <c r="HNN93" s="456" t="s">
        <v>116</v>
      </c>
      <c r="HNO93" s="456" t="s">
        <v>116</v>
      </c>
      <c r="HNP93" s="456" t="s">
        <v>116</v>
      </c>
      <c r="HNQ93" s="456" t="s">
        <v>116</v>
      </c>
      <c r="HNR93" s="456" t="s">
        <v>116</v>
      </c>
      <c r="HNS93" s="456" t="s">
        <v>116</v>
      </c>
      <c r="HNT93" s="456" t="s">
        <v>116</v>
      </c>
      <c r="HNU93" s="456" t="s">
        <v>116</v>
      </c>
      <c r="HNV93" s="456" t="s">
        <v>116</v>
      </c>
      <c r="HNW93" s="456" t="s">
        <v>116</v>
      </c>
      <c r="HNX93" s="456" t="s">
        <v>116</v>
      </c>
      <c r="HNY93" s="456" t="s">
        <v>116</v>
      </c>
      <c r="HNZ93" s="456" t="s">
        <v>116</v>
      </c>
      <c r="HOA93" s="456" t="s">
        <v>116</v>
      </c>
      <c r="HOB93" s="456" t="s">
        <v>116</v>
      </c>
      <c r="HOC93" s="456" t="s">
        <v>116</v>
      </c>
      <c r="HOD93" s="456" t="s">
        <v>116</v>
      </c>
      <c r="HOE93" s="456" t="s">
        <v>116</v>
      </c>
      <c r="HOF93" s="456" t="s">
        <v>116</v>
      </c>
      <c r="HOG93" s="456" t="s">
        <v>116</v>
      </c>
      <c r="HOH93" s="456" t="s">
        <v>116</v>
      </c>
      <c r="HOI93" s="456" t="s">
        <v>116</v>
      </c>
      <c r="HOJ93" s="456" t="s">
        <v>116</v>
      </c>
      <c r="HOK93" s="456" t="s">
        <v>116</v>
      </c>
      <c r="HOL93" s="456" t="s">
        <v>116</v>
      </c>
      <c r="HOM93" s="456" t="s">
        <v>116</v>
      </c>
      <c r="HON93" s="456" t="s">
        <v>116</v>
      </c>
      <c r="HOO93" s="456" t="s">
        <v>116</v>
      </c>
      <c r="HOP93" s="456" t="s">
        <v>116</v>
      </c>
      <c r="HOQ93" s="456" t="s">
        <v>116</v>
      </c>
      <c r="HOR93" s="456" t="s">
        <v>116</v>
      </c>
      <c r="HOS93" s="456" t="s">
        <v>116</v>
      </c>
      <c r="HOT93" s="456" t="s">
        <v>116</v>
      </c>
      <c r="HOU93" s="456" t="s">
        <v>116</v>
      </c>
      <c r="HOV93" s="456" t="s">
        <v>116</v>
      </c>
      <c r="HOW93" s="456" t="s">
        <v>116</v>
      </c>
      <c r="HOX93" s="456" t="s">
        <v>116</v>
      </c>
      <c r="HOY93" s="456" t="s">
        <v>116</v>
      </c>
      <c r="HOZ93" s="456" t="s">
        <v>116</v>
      </c>
      <c r="HPA93" s="456" t="s">
        <v>116</v>
      </c>
      <c r="HPB93" s="456" t="s">
        <v>116</v>
      </c>
      <c r="HPC93" s="456" t="s">
        <v>116</v>
      </c>
      <c r="HPD93" s="456" t="s">
        <v>116</v>
      </c>
      <c r="HPE93" s="456" t="s">
        <v>116</v>
      </c>
      <c r="HPF93" s="456" t="s">
        <v>116</v>
      </c>
      <c r="HPG93" s="456" t="s">
        <v>116</v>
      </c>
      <c r="HPH93" s="456" t="s">
        <v>116</v>
      </c>
      <c r="HPI93" s="456" t="s">
        <v>116</v>
      </c>
      <c r="HPJ93" s="456" t="s">
        <v>116</v>
      </c>
      <c r="HPK93" s="456" t="s">
        <v>116</v>
      </c>
      <c r="HPL93" s="456" t="s">
        <v>116</v>
      </c>
      <c r="HPM93" s="456" t="s">
        <v>116</v>
      </c>
      <c r="HPN93" s="456" t="s">
        <v>116</v>
      </c>
      <c r="HPO93" s="456" t="s">
        <v>116</v>
      </c>
      <c r="HPP93" s="456" t="s">
        <v>116</v>
      </c>
      <c r="HPQ93" s="456" t="s">
        <v>116</v>
      </c>
      <c r="HPR93" s="456" t="s">
        <v>116</v>
      </c>
      <c r="HPS93" s="456" t="s">
        <v>116</v>
      </c>
      <c r="HPT93" s="456" t="s">
        <v>116</v>
      </c>
      <c r="HPU93" s="456" t="s">
        <v>116</v>
      </c>
      <c r="HPV93" s="456" t="s">
        <v>116</v>
      </c>
      <c r="HPW93" s="456" t="s">
        <v>116</v>
      </c>
      <c r="HPX93" s="456" t="s">
        <v>116</v>
      </c>
      <c r="HPY93" s="456" t="s">
        <v>116</v>
      </c>
      <c r="HPZ93" s="456" t="s">
        <v>116</v>
      </c>
      <c r="HQA93" s="456" t="s">
        <v>116</v>
      </c>
      <c r="HQB93" s="456" t="s">
        <v>116</v>
      </c>
      <c r="HQC93" s="456" t="s">
        <v>116</v>
      </c>
      <c r="HQD93" s="456" t="s">
        <v>116</v>
      </c>
      <c r="HQE93" s="456" t="s">
        <v>116</v>
      </c>
      <c r="HQF93" s="456" t="s">
        <v>116</v>
      </c>
      <c r="HQG93" s="456" t="s">
        <v>116</v>
      </c>
      <c r="HQH93" s="456" t="s">
        <v>116</v>
      </c>
      <c r="HQI93" s="456" t="s">
        <v>116</v>
      </c>
      <c r="HQJ93" s="456" t="s">
        <v>116</v>
      </c>
      <c r="HQK93" s="456" t="s">
        <v>116</v>
      </c>
      <c r="HQL93" s="456" t="s">
        <v>116</v>
      </c>
      <c r="HQM93" s="456" t="s">
        <v>116</v>
      </c>
      <c r="HQN93" s="456" t="s">
        <v>116</v>
      </c>
      <c r="HQO93" s="456" t="s">
        <v>116</v>
      </c>
      <c r="HQP93" s="456" t="s">
        <v>116</v>
      </c>
      <c r="HQQ93" s="456" t="s">
        <v>116</v>
      </c>
      <c r="HQR93" s="456" t="s">
        <v>116</v>
      </c>
      <c r="HQS93" s="456" t="s">
        <v>116</v>
      </c>
      <c r="HQT93" s="456" t="s">
        <v>116</v>
      </c>
      <c r="HQU93" s="456" t="s">
        <v>116</v>
      </c>
      <c r="HQV93" s="456" t="s">
        <v>116</v>
      </c>
      <c r="HQW93" s="456" t="s">
        <v>116</v>
      </c>
      <c r="HQX93" s="456" t="s">
        <v>116</v>
      </c>
      <c r="HQY93" s="456" t="s">
        <v>116</v>
      </c>
      <c r="HQZ93" s="456" t="s">
        <v>116</v>
      </c>
      <c r="HRA93" s="456" t="s">
        <v>116</v>
      </c>
      <c r="HRB93" s="456" t="s">
        <v>116</v>
      </c>
      <c r="HRC93" s="456" t="s">
        <v>116</v>
      </c>
      <c r="HRD93" s="456" t="s">
        <v>116</v>
      </c>
      <c r="HRE93" s="456" t="s">
        <v>116</v>
      </c>
      <c r="HRF93" s="456" t="s">
        <v>116</v>
      </c>
      <c r="HRG93" s="456" t="s">
        <v>116</v>
      </c>
      <c r="HRH93" s="456" t="s">
        <v>116</v>
      </c>
      <c r="HRI93" s="456" t="s">
        <v>116</v>
      </c>
      <c r="HRJ93" s="456" t="s">
        <v>116</v>
      </c>
      <c r="HRK93" s="456" t="s">
        <v>116</v>
      </c>
      <c r="HRL93" s="456" t="s">
        <v>116</v>
      </c>
      <c r="HRM93" s="456" t="s">
        <v>116</v>
      </c>
      <c r="HRN93" s="456" t="s">
        <v>116</v>
      </c>
      <c r="HRO93" s="456" t="s">
        <v>116</v>
      </c>
      <c r="HRP93" s="456" t="s">
        <v>116</v>
      </c>
      <c r="HRQ93" s="456" t="s">
        <v>116</v>
      </c>
      <c r="HRR93" s="456" t="s">
        <v>116</v>
      </c>
      <c r="HRS93" s="456" t="s">
        <v>116</v>
      </c>
      <c r="HRT93" s="456" t="s">
        <v>116</v>
      </c>
      <c r="HRU93" s="456" t="s">
        <v>116</v>
      </c>
      <c r="HRV93" s="456" t="s">
        <v>116</v>
      </c>
      <c r="HRW93" s="456" t="s">
        <v>116</v>
      </c>
      <c r="HRX93" s="456" t="s">
        <v>116</v>
      </c>
      <c r="HRY93" s="456" t="s">
        <v>116</v>
      </c>
      <c r="HRZ93" s="456" t="s">
        <v>116</v>
      </c>
      <c r="HSA93" s="456" t="s">
        <v>116</v>
      </c>
      <c r="HSB93" s="456" t="s">
        <v>116</v>
      </c>
      <c r="HSC93" s="456" t="s">
        <v>116</v>
      </c>
      <c r="HSD93" s="456" t="s">
        <v>116</v>
      </c>
      <c r="HSE93" s="456" t="s">
        <v>116</v>
      </c>
      <c r="HSF93" s="456" t="s">
        <v>116</v>
      </c>
      <c r="HSG93" s="456" t="s">
        <v>116</v>
      </c>
      <c r="HSH93" s="456" t="s">
        <v>116</v>
      </c>
      <c r="HSI93" s="456" t="s">
        <v>116</v>
      </c>
      <c r="HSJ93" s="456" t="s">
        <v>116</v>
      </c>
      <c r="HSK93" s="456" t="s">
        <v>116</v>
      </c>
      <c r="HSL93" s="456" t="s">
        <v>116</v>
      </c>
      <c r="HSM93" s="456" t="s">
        <v>116</v>
      </c>
      <c r="HSN93" s="456" t="s">
        <v>116</v>
      </c>
      <c r="HSO93" s="456" t="s">
        <v>116</v>
      </c>
      <c r="HSP93" s="456" t="s">
        <v>116</v>
      </c>
      <c r="HSQ93" s="456" t="s">
        <v>116</v>
      </c>
      <c r="HSR93" s="456" t="s">
        <v>116</v>
      </c>
      <c r="HSS93" s="456" t="s">
        <v>116</v>
      </c>
      <c r="HST93" s="456" t="s">
        <v>116</v>
      </c>
      <c r="HSU93" s="456" t="s">
        <v>116</v>
      </c>
      <c r="HSV93" s="456" t="s">
        <v>116</v>
      </c>
      <c r="HSW93" s="456" t="s">
        <v>116</v>
      </c>
      <c r="HSX93" s="456" t="s">
        <v>116</v>
      </c>
      <c r="HSY93" s="456" t="s">
        <v>116</v>
      </c>
      <c r="HSZ93" s="456" t="s">
        <v>116</v>
      </c>
      <c r="HTA93" s="456" t="s">
        <v>116</v>
      </c>
      <c r="HTB93" s="456" t="s">
        <v>116</v>
      </c>
      <c r="HTC93" s="456" t="s">
        <v>116</v>
      </c>
      <c r="HTD93" s="456" t="s">
        <v>116</v>
      </c>
      <c r="HTE93" s="456" t="s">
        <v>116</v>
      </c>
      <c r="HTF93" s="456" t="s">
        <v>116</v>
      </c>
      <c r="HTG93" s="456" t="s">
        <v>116</v>
      </c>
      <c r="HTH93" s="456" t="s">
        <v>116</v>
      </c>
      <c r="HTI93" s="456" t="s">
        <v>116</v>
      </c>
      <c r="HTJ93" s="456" t="s">
        <v>116</v>
      </c>
      <c r="HTK93" s="456" t="s">
        <v>116</v>
      </c>
      <c r="HTL93" s="456" t="s">
        <v>116</v>
      </c>
      <c r="HTM93" s="456" t="s">
        <v>116</v>
      </c>
      <c r="HTN93" s="456" t="s">
        <v>116</v>
      </c>
      <c r="HTO93" s="456" t="s">
        <v>116</v>
      </c>
      <c r="HTP93" s="456" t="s">
        <v>116</v>
      </c>
      <c r="HTQ93" s="456" t="s">
        <v>116</v>
      </c>
      <c r="HTR93" s="456" t="s">
        <v>116</v>
      </c>
      <c r="HTS93" s="456" t="s">
        <v>116</v>
      </c>
      <c r="HTT93" s="456" t="s">
        <v>116</v>
      </c>
      <c r="HTU93" s="456" t="s">
        <v>116</v>
      </c>
      <c r="HTV93" s="456" t="s">
        <v>116</v>
      </c>
      <c r="HTW93" s="456" t="s">
        <v>116</v>
      </c>
      <c r="HTX93" s="456" t="s">
        <v>116</v>
      </c>
      <c r="HTY93" s="456" t="s">
        <v>116</v>
      </c>
      <c r="HTZ93" s="456" t="s">
        <v>116</v>
      </c>
      <c r="HUA93" s="456" t="s">
        <v>116</v>
      </c>
      <c r="HUB93" s="456" t="s">
        <v>116</v>
      </c>
      <c r="HUC93" s="456" t="s">
        <v>116</v>
      </c>
      <c r="HUD93" s="456" t="s">
        <v>116</v>
      </c>
      <c r="HUE93" s="456" t="s">
        <v>116</v>
      </c>
      <c r="HUF93" s="456" t="s">
        <v>116</v>
      </c>
      <c r="HUG93" s="456" t="s">
        <v>116</v>
      </c>
      <c r="HUH93" s="456" t="s">
        <v>116</v>
      </c>
      <c r="HUI93" s="456" t="s">
        <v>116</v>
      </c>
      <c r="HUJ93" s="456" t="s">
        <v>116</v>
      </c>
      <c r="HUK93" s="456" t="s">
        <v>116</v>
      </c>
      <c r="HUL93" s="456" t="s">
        <v>116</v>
      </c>
      <c r="HUM93" s="456" t="s">
        <v>116</v>
      </c>
      <c r="HUN93" s="456" t="s">
        <v>116</v>
      </c>
      <c r="HUO93" s="456" t="s">
        <v>116</v>
      </c>
      <c r="HUP93" s="456" t="s">
        <v>116</v>
      </c>
      <c r="HUQ93" s="456" t="s">
        <v>116</v>
      </c>
      <c r="HUR93" s="456" t="s">
        <v>116</v>
      </c>
      <c r="HUS93" s="456" t="s">
        <v>116</v>
      </c>
      <c r="HUT93" s="456" t="s">
        <v>116</v>
      </c>
      <c r="HUU93" s="456" t="s">
        <v>116</v>
      </c>
      <c r="HUV93" s="456" t="s">
        <v>116</v>
      </c>
      <c r="HUW93" s="456" t="s">
        <v>116</v>
      </c>
      <c r="HUX93" s="456" t="s">
        <v>116</v>
      </c>
      <c r="HUY93" s="456" t="s">
        <v>116</v>
      </c>
      <c r="HUZ93" s="456" t="s">
        <v>116</v>
      </c>
      <c r="HVA93" s="456" t="s">
        <v>116</v>
      </c>
      <c r="HVB93" s="456" t="s">
        <v>116</v>
      </c>
      <c r="HVC93" s="456" t="s">
        <v>116</v>
      </c>
      <c r="HVD93" s="456" t="s">
        <v>116</v>
      </c>
      <c r="HVE93" s="456" t="s">
        <v>116</v>
      </c>
      <c r="HVF93" s="456" t="s">
        <v>116</v>
      </c>
      <c r="HVG93" s="456" t="s">
        <v>116</v>
      </c>
      <c r="HVH93" s="456" t="s">
        <v>116</v>
      </c>
      <c r="HVI93" s="456" t="s">
        <v>116</v>
      </c>
      <c r="HVJ93" s="456" t="s">
        <v>116</v>
      </c>
      <c r="HVK93" s="456" t="s">
        <v>116</v>
      </c>
      <c r="HVL93" s="456" t="s">
        <v>116</v>
      </c>
      <c r="HVM93" s="456" t="s">
        <v>116</v>
      </c>
      <c r="HVN93" s="456" t="s">
        <v>116</v>
      </c>
      <c r="HVO93" s="456" t="s">
        <v>116</v>
      </c>
      <c r="HVP93" s="456" t="s">
        <v>116</v>
      </c>
      <c r="HVQ93" s="456" t="s">
        <v>116</v>
      </c>
      <c r="HVR93" s="456" t="s">
        <v>116</v>
      </c>
      <c r="HVS93" s="456" t="s">
        <v>116</v>
      </c>
      <c r="HVT93" s="456" t="s">
        <v>116</v>
      </c>
      <c r="HVU93" s="456" t="s">
        <v>116</v>
      </c>
      <c r="HVV93" s="456" t="s">
        <v>116</v>
      </c>
      <c r="HVW93" s="456" t="s">
        <v>116</v>
      </c>
      <c r="HVX93" s="456" t="s">
        <v>116</v>
      </c>
      <c r="HVY93" s="456" t="s">
        <v>116</v>
      </c>
      <c r="HVZ93" s="456" t="s">
        <v>116</v>
      </c>
      <c r="HWA93" s="456" t="s">
        <v>116</v>
      </c>
      <c r="HWB93" s="456" t="s">
        <v>116</v>
      </c>
      <c r="HWC93" s="456" t="s">
        <v>116</v>
      </c>
      <c r="HWD93" s="456" t="s">
        <v>116</v>
      </c>
      <c r="HWE93" s="456" t="s">
        <v>116</v>
      </c>
      <c r="HWF93" s="456" t="s">
        <v>116</v>
      </c>
      <c r="HWG93" s="456" t="s">
        <v>116</v>
      </c>
      <c r="HWH93" s="456" t="s">
        <v>116</v>
      </c>
      <c r="HWI93" s="456" t="s">
        <v>116</v>
      </c>
      <c r="HWJ93" s="456" t="s">
        <v>116</v>
      </c>
      <c r="HWK93" s="456" t="s">
        <v>116</v>
      </c>
      <c r="HWL93" s="456" t="s">
        <v>116</v>
      </c>
      <c r="HWM93" s="456" t="s">
        <v>116</v>
      </c>
      <c r="HWN93" s="456" t="s">
        <v>116</v>
      </c>
      <c r="HWO93" s="456" t="s">
        <v>116</v>
      </c>
      <c r="HWP93" s="456" t="s">
        <v>116</v>
      </c>
      <c r="HWQ93" s="456" t="s">
        <v>116</v>
      </c>
      <c r="HWR93" s="456" t="s">
        <v>116</v>
      </c>
      <c r="HWS93" s="456" t="s">
        <v>116</v>
      </c>
      <c r="HWT93" s="456" t="s">
        <v>116</v>
      </c>
      <c r="HWU93" s="456" t="s">
        <v>116</v>
      </c>
      <c r="HWV93" s="456" t="s">
        <v>116</v>
      </c>
      <c r="HWW93" s="456" t="s">
        <v>116</v>
      </c>
      <c r="HWX93" s="456" t="s">
        <v>116</v>
      </c>
      <c r="HWY93" s="456" t="s">
        <v>116</v>
      </c>
      <c r="HWZ93" s="456" t="s">
        <v>116</v>
      </c>
      <c r="HXA93" s="456" t="s">
        <v>116</v>
      </c>
      <c r="HXB93" s="456" t="s">
        <v>116</v>
      </c>
      <c r="HXC93" s="456" t="s">
        <v>116</v>
      </c>
      <c r="HXD93" s="456" t="s">
        <v>116</v>
      </c>
      <c r="HXE93" s="456" t="s">
        <v>116</v>
      </c>
      <c r="HXF93" s="456" t="s">
        <v>116</v>
      </c>
      <c r="HXG93" s="456" t="s">
        <v>116</v>
      </c>
      <c r="HXH93" s="456" t="s">
        <v>116</v>
      </c>
      <c r="HXI93" s="456" t="s">
        <v>116</v>
      </c>
      <c r="HXJ93" s="456" t="s">
        <v>116</v>
      </c>
      <c r="HXK93" s="456" t="s">
        <v>116</v>
      </c>
      <c r="HXL93" s="456" t="s">
        <v>116</v>
      </c>
      <c r="HXM93" s="456" t="s">
        <v>116</v>
      </c>
      <c r="HXN93" s="456" t="s">
        <v>116</v>
      </c>
      <c r="HXO93" s="456" t="s">
        <v>116</v>
      </c>
      <c r="HXP93" s="456" t="s">
        <v>116</v>
      </c>
      <c r="HXQ93" s="456" t="s">
        <v>116</v>
      </c>
      <c r="HXR93" s="456" t="s">
        <v>116</v>
      </c>
      <c r="HXS93" s="456" t="s">
        <v>116</v>
      </c>
      <c r="HXT93" s="456" t="s">
        <v>116</v>
      </c>
      <c r="HXU93" s="456" t="s">
        <v>116</v>
      </c>
      <c r="HXV93" s="456" t="s">
        <v>116</v>
      </c>
      <c r="HXW93" s="456" t="s">
        <v>116</v>
      </c>
      <c r="HXX93" s="456" t="s">
        <v>116</v>
      </c>
      <c r="HXY93" s="456" t="s">
        <v>116</v>
      </c>
      <c r="HXZ93" s="456" t="s">
        <v>116</v>
      </c>
      <c r="HYA93" s="456" t="s">
        <v>116</v>
      </c>
      <c r="HYB93" s="456" t="s">
        <v>116</v>
      </c>
      <c r="HYC93" s="456" t="s">
        <v>116</v>
      </c>
      <c r="HYD93" s="456" t="s">
        <v>116</v>
      </c>
      <c r="HYE93" s="456" t="s">
        <v>116</v>
      </c>
      <c r="HYF93" s="456" t="s">
        <v>116</v>
      </c>
      <c r="HYG93" s="456" t="s">
        <v>116</v>
      </c>
      <c r="HYH93" s="456" t="s">
        <v>116</v>
      </c>
      <c r="HYI93" s="456" t="s">
        <v>116</v>
      </c>
      <c r="HYJ93" s="456" t="s">
        <v>116</v>
      </c>
      <c r="HYK93" s="456" t="s">
        <v>116</v>
      </c>
      <c r="HYL93" s="456" t="s">
        <v>116</v>
      </c>
      <c r="HYM93" s="456" t="s">
        <v>116</v>
      </c>
      <c r="HYN93" s="456" t="s">
        <v>116</v>
      </c>
      <c r="HYO93" s="456" t="s">
        <v>116</v>
      </c>
      <c r="HYP93" s="456" t="s">
        <v>116</v>
      </c>
      <c r="HYQ93" s="456" t="s">
        <v>116</v>
      </c>
      <c r="HYR93" s="456" t="s">
        <v>116</v>
      </c>
      <c r="HYS93" s="456" t="s">
        <v>116</v>
      </c>
      <c r="HYT93" s="456" t="s">
        <v>116</v>
      </c>
      <c r="HYU93" s="456" t="s">
        <v>116</v>
      </c>
      <c r="HYV93" s="456" t="s">
        <v>116</v>
      </c>
      <c r="HYW93" s="456" t="s">
        <v>116</v>
      </c>
      <c r="HYX93" s="456" t="s">
        <v>116</v>
      </c>
      <c r="HYY93" s="456" t="s">
        <v>116</v>
      </c>
      <c r="HYZ93" s="456" t="s">
        <v>116</v>
      </c>
      <c r="HZA93" s="456" t="s">
        <v>116</v>
      </c>
      <c r="HZB93" s="456" t="s">
        <v>116</v>
      </c>
      <c r="HZC93" s="456" t="s">
        <v>116</v>
      </c>
      <c r="HZD93" s="456" t="s">
        <v>116</v>
      </c>
      <c r="HZE93" s="456" t="s">
        <v>116</v>
      </c>
      <c r="HZF93" s="456" t="s">
        <v>116</v>
      </c>
      <c r="HZG93" s="456" t="s">
        <v>116</v>
      </c>
      <c r="HZH93" s="456" t="s">
        <v>116</v>
      </c>
      <c r="HZI93" s="456" t="s">
        <v>116</v>
      </c>
      <c r="HZJ93" s="456" t="s">
        <v>116</v>
      </c>
      <c r="HZK93" s="456" t="s">
        <v>116</v>
      </c>
      <c r="HZL93" s="456" t="s">
        <v>116</v>
      </c>
      <c r="HZM93" s="456" t="s">
        <v>116</v>
      </c>
      <c r="HZN93" s="456" t="s">
        <v>116</v>
      </c>
      <c r="HZO93" s="456" t="s">
        <v>116</v>
      </c>
      <c r="HZP93" s="456" t="s">
        <v>116</v>
      </c>
      <c r="HZQ93" s="456" t="s">
        <v>116</v>
      </c>
      <c r="HZR93" s="456" t="s">
        <v>116</v>
      </c>
      <c r="HZS93" s="456" t="s">
        <v>116</v>
      </c>
      <c r="HZT93" s="456" t="s">
        <v>116</v>
      </c>
      <c r="HZU93" s="456" t="s">
        <v>116</v>
      </c>
      <c r="HZV93" s="456" t="s">
        <v>116</v>
      </c>
      <c r="HZW93" s="456" t="s">
        <v>116</v>
      </c>
      <c r="HZX93" s="456" t="s">
        <v>116</v>
      </c>
      <c r="HZY93" s="456" t="s">
        <v>116</v>
      </c>
      <c r="HZZ93" s="456" t="s">
        <v>116</v>
      </c>
      <c r="IAA93" s="456" t="s">
        <v>116</v>
      </c>
      <c r="IAB93" s="456" t="s">
        <v>116</v>
      </c>
      <c r="IAC93" s="456" t="s">
        <v>116</v>
      </c>
      <c r="IAD93" s="456" t="s">
        <v>116</v>
      </c>
      <c r="IAE93" s="456" t="s">
        <v>116</v>
      </c>
      <c r="IAF93" s="456" t="s">
        <v>116</v>
      </c>
      <c r="IAG93" s="456" t="s">
        <v>116</v>
      </c>
      <c r="IAH93" s="456" t="s">
        <v>116</v>
      </c>
      <c r="IAI93" s="456" t="s">
        <v>116</v>
      </c>
      <c r="IAJ93" s="456" t="s">
        <v>116</v>
      </c>
      <c r="IAK93" s="456" t="s">
        <v>116</v>
      </c>
      <c r="IAL93" s="456" t="s">
        <v>116</v>
      </c>
      <c r="IAM93" s="456" t="s">
        <v>116</v>
      </c>
      <c r="IAN93" s="456" t="s">
        <v>116</v>
      </c>
      <c r="IAO93" s="456" t="s">
        <v>116</v>
      </c>
      <c r="IAP93" s="456" t="s">
        <v>116</v>
      </c>
      <c r="IAQ93" s="456" t="s">
        <v>116</v>
      </c>
      <c r="IAR93" s="456" t="s">
        <v>116</v>
      </c>
      <c r="IAS93" s="456" t="s">
        <v>116</v>
      </c>
      <c r="IAT93" s="456" t="s">
        <v>116</v>
      </c>
      <c r="IAU93" s="456" t="s">
        <v>116</v>
      </c>
      <c r="IAV93" s="456" t="s">
        <v>116</v>
      </c>
      <c r="IAW93" s="456" t="s">
        <v>116</v>
      </c>
      <c r="IAX93" s="456" t="s">
        <v>116</v>
      </c>
      <c r="IAY93" s="456" t="s">
        <v>116</v>
      </c>
      <c r="IAZ93" s="456" t="s">
        <v>116</v>
      </c>
      <c r="IBA93" s="456" t="s">
        <v>116</v>
      </c>
      <c r="IBB93" s="456" t="s">
        <v>116</v>
      </c>
      <c r="IBC93" s="456" t="s">
        <v>116</v>
      </c>
      <c r="IBD93" s="456" t="s">
        <v>116</v>
      </c>
      <c r="IBE93" s="456" t="s">
        <v>116</v>
      </c>
      <c r="IBF93" s="456" t="s">
        <v>116</v>
      </c>
      <c r="IBG93" s="456" t="s">
        <v>116</v>
      </c>
      <c r="IBH93" s="456" t="s">
        <v>116</v>
      </c>
      <c r="IBI93" s="456" t="s">
        <v>116</v>
      </c>
      <c r="IBJ93" s="456" t="s">
        <v>116</v>
      </c>
      <c r="IBK93" s="456" t="s">
        <v>116</v>
      </c>
      <c r="IBL93" s="456" t="s">
        <v>116</v>
      </c>
      <c r="IBM93" s="456" t="s">
        <v>116</v>
      </c>
      <c r="IBN93" s="456" t="s">
        <v>116</v>
      </c>
      <c r="IBO93" s="456" t="s">
        <v>116</v>
      </c>
      <c r="IBP93" s="456" t="s">
        <v>116</v>
      </c>
      <c r="IBQ93" s="456" t="s">
        <v>116</v>
      </c>
      <c r="IBR93" s="456" t="s">
        <v>116</v>
      </c>
      <c r="IBS93" s="456" t="s">
        <v>116</v>
      </c>
      <c r="IBT93" s="456" t="s">
        <v>116</v>
      </c>
      <c r="IBU93" s="456" t="s">
        <v>116</v>
      </c>
      <c r="IBV93" s="456" t="s">
        <v>116</v>
      </c>
      <c r="IBW93" s="456" t="s">
        <v>116</v>
      </c>
      <c r="IBX93" s="456" t="s">
        <v>116</v>
      </c>
      <c r="IBY93" s="456" t="s">
        <v>116</v>
      </c>
      <c r="IBZ93" s="456" t="s">
        <v>116</v>
      </c>
      <c r="ICA93" s="456" t="s">
        <v>116</v>
      </c>
      <c r="ICB93" s="456" t="s">
        <v>116</v>
      </c>
      <c r="ICC93" s="456" t="s">
        <v>116</v>
      </c>
      <c r="ICD93" s="456" t="s">
        <v>116</v>
      </c>
      <c r="ICE93" s="456" t="s">
        <v>116</v>
      </c>
      <c r="ICF93" s="456" t="s">
        <v>116</v>
      </c>
      <c r="ICG93" s="456" t="s">
        <v>116</v>
      </c>
      <c r="ICH93" s="456" t="s">
        <v>116</v>
      </c>
      <c r="ICI93" s="456" t="s">
        <v>116</v>
      </c>
      <c r="ICJ93" s="456" t="s">
        <v>116</v>
      </c>
      <c r="ICK93" s="456" t="s">
        <v>116</v>
      </c>
      <c r="ICL93" s="456" t="s">
        <v>116</v>
      </c>
      <c r="ICM93" s="456" t="s">
        <v>116</v>
      </c>
      <c r="ICN93" s="456" t="s">
        <v>116</v>
      </c>
      <c r="ICO93" s="456" t="s">
        <v>116</v>
      </c>
      <c r="ICP93" s="456" t="s">
        <v>116</v>
      </c>
      <c r="ICQ93" s="456" t="s">
        <v>116</v>
      </c>
      <c r="ICR93" s="456" t="s">
        <v>116</v>
      </c>
      <c r="ICS93" s="456" t="s">
        <v>116</v>
      </c>
      <c r="ICT93" s="456" t="s">
        <v>116</v>
      </c>
      <c r="ICU93" s="456" t="s">
        <v>116</v>
      </c>
      <c r="ICV93" s="456" t="s">
        <v>116</v>
      </c>
      <c r="ICW93" s="456" t="s">
        <v>116</v>
      </c>
      <c r="ICX93" s="456" t="s">
        <v>116</v>
      </c>
      <c r="ICY93" s="456" t="s">
        <v>116</v>
      </c>
      <c r="ICZ93" s="456" t="s">
        <v>116</v>
      </c>
      <c r="IDA93" s="456" t="s">
        <v>116</v>
      </c>
      <c r="IDB93" s="456" t="s">
        <v>116</v>
      </c>
      <c r="IDC93" s="456" t="s">
        <v>116</v>
      </c>
      <c r="IDD93" s="456" t="s">
        <v>116</v>
      </c>
      <c r="IDE93" s="456" t="s">
        <v>116</v>
      </c>
      <c r="IDF93" s="456" t="s">
        <v>116</v>
      </c>
      <c r="IDG93" s="456" t="s">
        <v>116</v>
      </c>
      <c r="IDH93" s="456" t="s">
        <v>116</v>
      </c>
      <c r="IDI93" s="456" t="s">
        <v>116</v>
      </c>
      <c r="IDJ93" s="456" t="s">
        <v>116</v>
      </c>
      <c r="IDK93" s="456" t="s">
        <v>116</v>
      </c>
      <c r="IDL93" s="456" t="s">
        <v>116</v>
      </c>
      <c r="IDM93" s="456" t="s">
        <v>116</v>
      </c>
      <c r="IDN93" s="456" t="s">
        <v>116</v>
      </c>
      <c r="IDO93" s="456" t="s">
        <v>116</v>
      </c>
      <c r="IDP93" s="456" t="s">
        <v>116</v>
      </c>
      <c r="IDQ93" s="456" t="s">
        <v>116</v>
      </c>
      <c r="IDR93" s="456" t="s">
        <v>116</v>
      </c>
      <c r="IDS93" s="456" t="s">
        <v>116</v>
      </c>
      <c r="IDT93" s="456" t="s">
        <v>116</v>
      </c>
      <c r="IDU93" s="456" t="s">
        <v>116</v>
      </c>
      <c r="IDV93" s="456" t="s">
        <v>116</v>
      </c>
      <c r="IDW93" s="456" t="s">
        <v>116</v>
      </c>
      <c r="IDX93" s="456" t="s">
        <v>116</v>
      </c>
      <c r="IDY93" s="456" t="s">
        <v>116</v>
      </c>
      <c r="IDZ93" s="456" t="s">
        <v>116</v>
      </c>
      <c r="IEA93" s="456" t="s">
        <v>116</v>
      </c>
      <c r="IEB93" s="456" t="s">
        <v>116</v>
      </c>
      <c r="IEC93" s="456" t="s">
        <v>116</v>
      </c>
      <c r="IED93" s="456" t="s">
        <v>116</v>
      </c>
      <c r="IEE93" s="456" t="s">
        <v>116</v>
      </c>
      <c r="IEF93" s="456" t="s">
        <v>116</v>
      </c>
      <c r="IEG93" s="456" t="s">
        <v>116</v>
      </c>
      <c r="IEH93" s="456" t="s">
        <v>116</v>
      </c>
      <c r="IEI93" s="456" t="s">
        <v>116</v>
      </c>
      <c r="IEJ93" s="456" t="s">
        <v>116</v>
      </c>
      <c r="IEK93" s="456" t="s">
        <v>116</v>
      </c>
      <c r="IEL93" s="456" t="s">
        <v>116</v>
      </c>
      <c r="IEM93" s="456" t="s">
        <v>116</v>
      </c>
      <c r="IEN93" s="456" t="s">
        <v>116</v>
      </c>
      <c r="IEO93" s="456" t="s">
        <v>116</v>
      </c>
      <c r="IEP93" s="456" t="s">
        <v>116</v>
      </c>
      <c r="IEQ93" s="456" t="s">
        <v>116</v>
      </c>
      <c r="IER93" s="456" t="s">
        <v>116</v>
      </c>
      <c r="IES93" s="456" t="s">
        <v>116</v>
      </c>
      <c r="IET93" s="456" t="s">
        <v>116</v>
      </c>
      <c r="IEU93" s="456" t="s">
        <v>116</v>
      </c>
      <c r="IEV93" s="456" t="s">
        <v>116</v>
      </c>
      <c r="IEW93" s="456" t="s">
        <v>116</v>
      </c>
      <c r="IEX93" s="456" t="s">
        <v>116</v>
      </c>
      <c r="IEY93" s="456" t="s">
        <v>116</v>
      </c>
      <c r="IEZ93" s="456" t="s">
        <v>116</v>
      </c>
      <c r="IFA93" s="456" t="s">
        <v>116</v>
      </c>
      <c r="IFB93" s="456" t="s">
        <v>116</v>
      </c>
      <c r="IFC93" s="456" t="s">
        <v>116</v>
      </c>
      <c r="IFD93" s="456" t="s">
        <v>116</v>
      </c>
      <c r="IFE93" s="456" t="s">
        <v>116</v>
      </c>
      <c r="IFF93" s="456" t="s">
        <v>116</v>
      </c>
      <c r="IFG93" s="456" t="s">
        <v>116</v>
      </c>
      <c r="IFH93" s="456" t="s">
        <v>116</v>
      </c>
      <c r="IFI93" s="456" t="s">
        <v>116</v>
      </c>
      <c r="IFJ93" s="456" t="s">
        <v>116</v>
      </c>
      <c r="IFK93" s="456" t="s">
        <v>116</v>
      </c>
      <c r="IFL93" s="456" t="s">
        <v>116</v>
      </c>
      <c r="IFM93" s="456" t="s">
        <v>116</v>
      </c>
      <c r="IFN93" s="456" t="s">
        <v>116</v>
      </c>
      <c r="IFO93" s="456" t="s">
        <v>116</v>
      </c>
      <c r="IFP93" s="456" t="s">
        <v>116</v>
      </c>
      <c r="IFQ93" s="456" t="s">
        <v>116</v>
      </c>
      <c r="IFR93" s="456" t="s">
        <v>116</v>
      </c>
      <c r="IFS93" s="456" t="s">
        <v>116</v>
      </c>
      <c r="IFT93" s="456" t="s">
        <v>116</v>
      </c>
      <c r="IFU93" s="456" t="s">
        <v>116</v>
      </c>
      <c r="IFV93" s="456" t="s">
        <v>116</v>
      </c>
      <c r="IFW93" s="456" t="s">
        <v>116</v>
      </c>
      <c r="IFX93" s="456" t="s">
        <v>116</v>
      </c>
      <c r="IFY93" s="456" t="s">
        <v>116</v>
      </c>
      <c r="IFZ93" s="456" t="s">
        <v>116</v>
      </c>
      <c r="IGA93" s="456" t="s">
        <v>116</v>
      </c>
      <c r="IGB93" s="456" t="s">
        <v>116</v>
      </c>
      <c r="IGC93" s="456" t="s">
        <v>116</v>
      </c>
      <c r="IGD93" s="456" t="s">
        <v>116</v>
      </c>
      <c r="IGE93" s="456" t="s">
        <v>116</v>
      </c>
      <c r="IGF93" s="456" t="s">
        <v>116</v>
      </c>
      <c r="IGG93" s="456" t="s">
        <v>116</v>
      </c>
      <c r="IGH93" s="456" t="s">
        <v>116</v>
      </c>
      <c r="IGI93" s="456" t="s">
        <v>116</v>
      </c>
      <c r="IGJ93" s="456" t="s">
        <v>116</v>
      </c>
      <c r="IGK93" s="456" t="s">
        <v>116</v>
      </c>
      <c r="IGL93" s="456" t="s">
        <v>116</v>
      </c>
      <c r="IGM93" s="456" t="s">
        <v>116</v>
      </c>
      <c r="IGN93" s="456" t="s">
        <v>116</v>
      </c>
      <c r="IGO93" s="456" t="s">
        <v>116</v>
      </c>
      <c r="IGP93" s="456" t="s">
        <v>116</v>
      </c>
      <c r="IGQ93" s="456" t="s">
        <v>116</v>
      </c>
      <c r="IGR93" s="456" t="s">
        <v>116</v>
      </c>
      <c r="IGS93" s="456" t="s">
        <v>116</v>
      </c>
      <c r="IGT93" s="456" t="s">
        <v>116</v>
      </c>
      <c r="IGU93" s="456" t="s">
        <v>116</v>
      </c>
      <c r="IGV93" s="456" t="s">
        <v>116</v>
      </c>
      <c r="IGW93" s="456" t="s">
        <v>116</v>
      </c>
      <c r="IGX93" s="456" t="s">
        <v>116</v>
      </c>
      <c r="IGY93" s="456" t="s">
        <v>116</v>
      </c>
      <c r="IGZ93" s="456" t="s">
        <v>116</v>
      </c>
      <c r="IHA93" s="456" t="s">
        <v>116</v>
      </c>
      <c r="IHB93" s="456" t="s">
        <v>116</v>
      </c>
      <c r="IHC93" s="456" t="s">
        <v>116</v>
      </c>
      <c r="IHD93" s="456" t="s">
        <v>116</v>
      </c>
      <c r="IHE93" s="456" t="s">
        <v>116</v>
      </c>
      <c r="IHF93" s="456" t="s">
        <v>116</v>
      </c>
      <c r="IHG93" s="456" t="s">
        <v>116</v>
      </c>
      <c r="IHH93" s="456" t="s">
        <v>116</v>
      </c>
      <c r="IHI93" s="456" t="s">
        <v>116</v>
      </c>
      <c r="IHJ93" s="456" t="s">
        <v>116</v>
      </c>
      <c r="IHK93" s="456" t="s">
        <v>116</v>
      </c>
      <c r="IHL93" s="456" t="s">
        <v>116</v>
      </c>
      <c r="IHM93" s="456" t="s">
        <v>116</v>
      </c>
      <c r="IHN93" s="456" t="s">
        <v>116</v>
      </c>
      <c r="IHO93" s="456" t="s">
        <v>116</v>
      </c>
      <c r="IHP93" s="456" t="s">
        <v>116</v>
      </c>
      <c r="IHQ93" s="456" t="s">
        <v>116</v>
      </c>
      <c r="IHR93" s="456" t="s">
        <v>116</v>
      </c>
      <c r="IHS93" s="456" t="s">
        <v>116</v>
      </c>
      <c r="IHT93" s="456" t="s">
        <v>116</v>
      </c>
      <c r="IHU93" s="456" t="s">
        <v>116</v>
      </c>
      <c r="IHV93" s="456" t="s">
        <v>116</v>
      </c>
      <c r="IHW93" s="456" t="s">
        <v>116</v>
      </c>
      <c r="IHX93" s="456" t="s">
        <v>116</v>
      </c>
      <c r="IHY93" s="456" t="s">
        <v>116</v>
      </c>
      <c r="IHZ93" s="456" t="s">
        <v>116</v>
      </c>
      <c r="IIA93" s="456" t="s">
        <v>116</v>
      </c>
      <c r="IIB93" s="456" t="s">
        <v>116</v>
      </c>
      <c r="IIC93" s="456" t="s">
        <v>116</v>
      </c>
      <c r="IID93" s="456" t="s">
        <v>116</v>
      </c>
      <c r="IIE93" s="456" t="s">
        <v>116</v>
      </c>
      <c r="IIF93" s="456" t="s">
        <v>116</v>
      </c>
      <c r="IIG93" s="456" t="s">
        <v>116</v>
      </c>
      <c r="IIH93" s="456" t="s">
        <v>116</v>
      </c>
      <c r="III93" s="456" t="s">
        <v>116</v>
      </c>
      <c r="IIJ93" s="456" t="s">
        <v>116</v>
      </c>
      <c r="IIK93" s="456" t="s">
        <v>116</v>
      </c>
      <c r="IIL93" s="456" t="s">
        <v>116</v>
      </c>
      <c r="IIM93" s="456" t="s">
        <v>116</v>
      </c>
      <c r="IIN93" s="456" t="s">
        <v>116</v>
      </c>
      <c r="IIO93" s="456" t="s">
        <v>116</v>
      </c>
      <c r="IIP93" s="456" t="s">
        <v>116</v>
      </c>
      <c r="IIQ93" s="456" t="s">
        <v>116</v>
      </c>
      <c r="IIR93" s="456" t="s">
        <v>116</v>
      </c>
      <c r="IIS93" s="456" t="s">
        <v>116</v>
      </c>
      <c r="IIT93" s="456" t="s">
        <v>116</v>
      </c>
      <c r="IIU93" s="456" t="s">
        <v>116</v>
      </c>
      <c r="IIV93" s="456" t="s">
        <v>116</v>
      </c>
      <c r="IIW93" s="456" t="s">
        <v>116</v>
      </c>
      <c r="IIX93" s="456" t="s">
        <v>116</v>
      </c>
      <c r="IIY93" s="456" t="s">
        <v>116</v>
      </c>
      <c r="IIZ93" s="456" t="s">
        <v>116</v>
      </c>
      <c r="IJA93" s="456" t="s">
        <v>116</v>
      </c>
      <c r="IJB93" s="456" t="s">
        <v>116</v>
      </c>
      <c r="IJC93" s="456" t="s">
        <v>116</v>
      </c>
      <c r="IJD93" s="456" t="s">
        <v>116</v>
      </c>
      <c r="IJE93" s="456" t="s">
        <v>116</v>
      </c>
      <c r="IJF93" s="456" t="s">
        <v>116</v>
      </c>
      <c r="IJG93" s="456" t="s">
        <v>116</v>
      </c>
      <c r="IJH93" s="456" t="s">
        <v>116</v>
      </c>
      <c r="IJI93" s="456" t="s">
        <v>116</v>
      </c>
      <c r="IJJ93" s="456" t="s">
        <v>116</v>
      </c>
      <c r="IJK93" s="456" t="s">
        <v>116</v>
      </c>
      <c r="IJL93" s="456" t="s">
        <v>116</v>
      </c>
      <c r="IJM93" s="456" t="s">
        <v>116</v>
      </c>
      <c r="IJN93" s="456" t="s">
        <v>116</v>
      </c>
      <c r="IJO93" s="456" t="s">
        <v>116</v>
      </c>
      <c r="IJP93" s="456" t="s">
        <v>116</v>
      </c>
      <c r="IJQ93" s="456" t="s">
        <v>116</v>
      </c>
      <c r="IJR93" s="456" t="s">
        <v>116</v>
      </c>
      <c r="IJS93" s="456" t="s">
        <v>116</v>
      </c>
      <c r="IJT93" s="456" t="s">
        <v>116</v>
      </c>
      <c r="IJU93" s="456" t="s">
        <v>116</v>
      </c>
      <c r="IJV93" s="456" t="s">
        <v>116</v>
      </c>
      <c r="IJW93" s="456" t="s">
        <v>116</v>
      </c>
      <c r="IJX93" s="456" t="s">
        <v>116</v>
      </c>
      <c r="IJY93" s="456" t="s">
        <v>116</v>
      </c>
      <c r="IJZ93" s="456" t="s">
        <v>116</v>
      </c>
      <c r="IKA93" s="456" t="s">
        <v>116</v>
      </c>
      <c r="IKB93" s="456" t="s">
        <v>116</v>
      </c>
      <c r="IKC93" s="456" t="s">
        <v>116</v>
      </c>
      <c r="IKD93" s="456" t="s">
        <v>116</v>
      </c>
      <c r="IKE93" s="456" t="s">
        <v>116</v>
      </c>
      <c r="IKF93" s="456" t="s">
        <v>116</v>
      </c>
      <c r="IKG93" s="456" t="s">
        <v>116</v>
      </c>
      <c r="IKH93" s="456" t="s">
        <v>116</v>
      </c>
      <c r="IKI93" s="456" t="s">
        <v>116</v>
      </c>
      <c r="IKJ93" s="456" t="s">
        <v>116</v>
      </c>
      <c r="IKK93" s="456" t="s">
        <v>116</v>
      </c>
      <c r="IKL93" s="456" t="s">
        <v>116</v>
      </c>
      <c r="IKM93" s="456" t="s">
        <v>116</v>
      </c>
      <c r="IKN93" s="456" t="s">
        <v>116</v>
      </c>
      <c r="IKO93" s="456" t="s">
        <v>116</v>
      </c>
      <c r="IKP93" s="456" t="s">
        <v>116</v>
      </c>
      <c r="IKQ93" s="456" t="s">
        <v>116</v>
      </c>
      <c r="IKR93" s="456" t="s">
        <v>116</v>
      </c>
      <c r="IKS93" s="456" t="s">
        <v>116</v>
      </c>
      <c r="IKT93" s="456" t="s">
        <v>116</v>
      </c>
      <c r="IKU93" s="456" t="s">
        <v>116</v>
      </c>
      <c r="IKV93" s="456" t="s">
        <v>116</v>
      </c>
      <c r="IKW93" s="456" t="s">
        <v>116</v>
      </c>
      <c r="IKX93" s="456" t="s">
        <v>116</v>
      </c>
      <c r="IKY93" s="456" t="s">
        <v>116</v>
      </c>
      <c r="IKZ93" s="456" t="s">
        <v>116</v>
      </c>
      <c r="ILA93" s="456" t="s">
        <v>116</v>
      </c>
      <c r="ILB93" s="456" t="s">
        <v>116</v>
      </c>
      <c r="ILC93" s="456" t="s">
        <v>116</v>
      </c>
      <c r="ILD93" s="456" t="s">
        <v>116</v>
      </c>
      <c r="ILE93" s="456" t="s">
        <v>116</v>
      </c>
      <c r="ILF93" s="456" t="s">
        <v>116</v>
      </c>
      <c r="ILG93" s="456" t="s">
        <v>116</v>
      </c>
      <c r="ILH93" s="456" t="s">
        <v>116</v>
      </c>
      <c r="ILI93" s="456" t="s">
        <v>116</v>
      </c>
      <c r="ILJ93" s="456" t="s">
        <v>116</v>
      </c>
      <c r="ILK93" s="456" t="s">
        <v>116</v>
      </c>
      <c r="ILL93" s="456" t="s">
        <v>116</v>
      </c>
      <c r="ILM93" s="456" t="s">
        <v>116</v>
      </c>
      <c r="ILN93" s="456" t="s">
        <v>116</v>
      </c>
      <c r="ILO93" s="456" t="s">
        <v>116</v>
      </c>
      <c r="ILP93" s="456" t="s">
        <v>116</v>
      </c>
      <c r="ILQ93" s="456" t="s">
        <v>116</v>
      </c>
      <c r="ILR93" s="456" t="s">
        <v>116</v>
      </c>
      <c r="ILS93" s="456" t="s">
        <v>116</v>
      </c>
      <c r="ILT93" s="456" t="s">
        <v>116</v>
      </c>
      <c r="ILU93" s="456" t="s">
        <v>116</v>
      </c>
      <c r="ILV93" s="456" t="s">
        <v>116</v>
      </c>
      <c r="ILW93" s="456" t="s">
        <v>116</v>
      </c>
      <c r="ILX93" s="456" t="s">
        <v>116</v>
      </c>
      <c r="ILY93" s="456" t="s">
        <v>116</v>
      </c>
      <c r="ILZ93" s="456" t="s">
        <v>116</v>
      </c>
      <c r="IMA93" s="456" t="s">
        <v>116</v>
      </c>
      <c r="IMB93" s="456" t="s">
        <v>116</v>
      </c>
      <c r="IMC93" s="456" t="s">
        <v>116</v>
      </c>
      <c r="IMD93" s="456" t="s">
        <v>116</v>
      </c>
      <c r="IME93" s="456" t="s">
        <v>116</v>
      </c>
      <c r="IMF93" s="456" t="s">
        <v>116</v>
      </c>
      <c r="IMG93" s="456" t="s">
        <v>116</v>
      </c>
      <c r="IMH93" s="456" t="s">
        <v>116</v>
      </c>
      <c r="IMI93" s="456" t="s">
        <v>116</v>
      </c>
      <c r="IMJ93" s="456" t="s">
        <v>116</v>
      </c>
      <c r="IMK93" s="456" t="s">
        <v>116</v>
      </c>
      <c r="IML93" s="456" t="s">
        <v>116</v>
      </c>
      <c r="IMM93" s="456" t="s">
        <v>116</v>
      </c>
      <c r="IMN93" s="456" t="s">
        <v>116</v>
      </c>
      <c r="IMO93" s="456" t="s">
        <v>116</v>
      </c>
      <c r="IMP93" s="456" t="s">
        <v>116</v>
      </c>
      <c r="IMQ93" s="456" t="s">
        <v>116</v>
      </c>
      <c r="IMR93" s="456" t="s">
        <v>116</v>
      </c>
      <c r="IMS93" s="456" t="s">
        <v>116</v>
      </c>
      <c r="IMT93" s="456" t="s">
        <v>116</v>
      </c>
      <c r="IMU93" s="456" t="s">
        <v>116</v>
      </c>
      <c r="IMV93" s="456" t="s">
        <v>116</v>
      </c>
      <c r="IMW93" s="456" t="s">
        <v>116</v>
      </c>
      <c r="IMX93" s="456" t="s">
        <v>116</v>
      </c>
      <c r="IMY93" s="456" t="s">
        <v>116</v>
      </c>
      <c r="IMZ93" s="456" t="s">
        <v>116</v>
      </c>
      <c r="INA93" s="456" t="s">
        <v>116</v>
      </c>
      <c r="INB93" s="456" t="s">
        <v>116</v>
      </c>
      <c r="INC93" s="456" t="s">
        <v>116</v>
      </c>
      <c r="IND93" s="456" t="s">
        <v>116</v>
      </c>
      <c r="INE93" s="456" t="s">
        <v>116</v>
      </c>
      <c r="INF93" s="456" t="s">
        <v>116</v>
      </c>
      <c r="ING93" s="456" t="s">
        <v>116</v>
      </c>
      <c r="INH93" s="456" t="s">
        <v>116</v>
      </c>
      <c r="INI93" s="456" t="s">
        <v>116</v>
      </c>
      <c r="INJ93" s="456" t="s">
        <v>116</v>
      </c>
      <c r="INK93" s="456" t="s">
        <v>116</v>
      </c>
      <c r="INL93" s="456" t="s">
        <v>116</v>
      </c>
      <c r="INM93" s="456" t="s">
        <v>116</v>
      </c>
      <c r="INN93" s="456" t="s">
        <v>116</v>
      </c>
      <c r="INO93" s="456" t="s">
        <v>116</v>
      </c>
      <c r="INP93" s="456" t="s">
        <v>116</v>
      </c>
      <c r="INQ93" s="456" t="s">
        <v>116</v>
      </c>
      <c r="INR93" s="456" t="s">
        <v>116</v>
      </c>
      <c r="INS93" s="456" t="s">
        <v>116</v>
      </c>
      <c r="INT93" s="456" t="s">
        <v>116</v>
      </c>
      <c r="INU93" s="456" t="s">
        <v>116</v>
      </c>
      <c r="INV93" s="456" t="s">
        <v>116</v>
      </c>
      <c r="INW93" s="456" t="s">
        <v>116</v>
      </c>
      <c r="INX93" s="456" t="s">
        <v>116</v>
      </c>
      <c r="INY93" s="456" t="s">
        <v>116</v>
      </c>
      <c r="INZ93" s="456" t="s">
        <v>116</v>
      </c>
      <c r="IOA93" s="456" t="s">
        <v>116</v>
      </c>
      <c r="IOB93" s="456" t="s">
        <v>116</v>
      </c>
      <c r="IOC93" s="456" t="s">
        <v>116</v>
      </c>
      <c r="IOD93" s="456" t="s">
        <v>116</v>
      </c>
      <c r="IOE93" s="456" t="s">
        <v>116</v>
      </c>
      <c r="IOF93" s="456" t="s">
        <v>116</v>
      </c>
      <c r="IOG93" s="456" t="s">
        <v>116</v>
      </c>
      <c r="IOH93" s="456" t="s">
        <v>116</v>
      </c>
      <c r="IOI93" s="456" t="s">
        <v>116</v>
      </c>
      <c r="IOJ93" s="456" t="s">
        <v>116</v>
      </c>
      <c r="IOK93" s="456" t="s">
        <v>116</v>
      </c>
      <c r="IOL93" s="456" t="s">
        <v>116</v>
      </c>
      <c r="IOM93" s="456" t="s">
        <v>116</v>
      </c>
      <c r="ION93" s="456" t="s">
        <v>116</v>
      </c>
      <c r="IOO93" s="456" t="s">
        <v>116</v>
      </c>
      <c r="IOP93" s="456" t="s">
        <v>116</v>
      </c>
      <c r="IOQ93" s="456" t="s">
        <v>116</v>
      </c>
      <c r="IOR93" s="456" t="s">
        <v>116</v>
      </c>
      <c r="IOS93" s="456" t="s">
        <v>116</v>
      </c>
      <c r="IOT93" s="456" t="s">
        <v>116</v>
      </c>
      <c r="IOU93" s="456" t="s">
        <v>116</v>
      </c>
      <c r="IOV93" s="456" t="s">
        <v>116</v>
      </c>
      <c r="IOW93" s="456" t="s">
        <v>116</v>
      </c>
      <c r="IOX93" s="456" t="s">
        <v>116</v>
      </c>
      <c r="IOY93" s="456" t="s">
        <v>116</v>
      </c>
      <c r="IOZ93" s="456" t="s">
        <v>116</v>
      </c>
      <c r="IPA93" s="456" t="s">
        <v>116</v>
      </c>
      <c r="IPB93" s="456" t="s">
        <v>116</v>
      </c>
      <c r="IPC93" s="456" t="s">
        <v>116</v>
      </c>
      <c r="IPD93" s="456" t="s">
        <v>116</v>
      </c>
      <c r="IPE93" s="456" t="s">
        <v>116</v>
      </c>
      <c r="IPF93" s="456" t="s">
        <v>116</v>
      </c>
      <c r="IPG93" s="456" t="s">
        <v>116</v>
      </c>
      <c r="IPH93" s="456" t="s">
        <v>116</v>
      </c>
      <c r="IPI93" s="456" t="s">
        <v>116</v>
      </c>
      <c r="IPJ93" s="456" t="s">
        <v>116</v>
      </c>
      <c r="IPK93" s="456" t="s">
        <v>116</v>
      </c>
      <c r="IPL93" s="456" t="s">
        <v>116</v>
      </c>
      <c r="IPM93" s="456" t="s">
        <v>116</v>
      </c>
      <c r="IPN93" s="456" t="s">
        <v>116</v>
      </c>
      <c r="IPO93" s="456" t="s">
        <v>116</v>
      </c>
      <c r="IPP93" s="456" t="s">
        <v>116</v>
      </c>
      <c r="IPQ93" s="456" t="s">
        <v>116</v>
      </c>
      <c r="IPR93" s="456" t="s">
        <v>116</v>
      </c>
      <c r="IPS93" s="456" t="s">
        <v>116</v>
      </c>
      <c r="IPT93" s="456" t="s">
        <v>116</v>
      </c>
      <c r="IPU93" s="456" t="s">
        <v>116</v>
      </c>
      <c r="IPV93" s="456" t="s">
        <v>116</v>
      </c>
      <c r="IPW93" s="456" t="s">
        <v>116</v>
      </c>
      <c r="IPX93" s="456" t="s">
        <v>116</v>
      </c>
      <c r="IPY93" s="456" t="s">
        <v>116</v>
      </c>
      <c r="IPZ93" s="456" t="s">
        <v>116</v>
      </c>
      <c r="IQA93" s="456" t="s">
        <v>116</v>
      </c>
      <c r="IQB93" s="456" t="s">
        <v>116</v>
      </c>
      <c r="IQC93" s="456" t="s">
        <v>116</v>
      </c>
      <c r="IQD93" s="456" t="s">
        <v>116</v>
      </c>
      <c r="IQE93" s="456" t="s">
        <v>116</v>
      </c>
      <c r="IQF93" s="456" t="s">
        <v>116</v>
      </c>
      <c r="IQG93" s="456" t="s">
        <v>116</v>
      </c>
      <c r="IQH93" s="456" t="s">
        <v>116</v>
      </c>
      <c r="IQI93" s="456" t="s">
        <v>116</v>
      </c>
      <c r="IQJ93" s="456" t="s">
        <v>116</v>
      </c>
      <c r="IQK93" s="456" t="s">
        <v>116</v>
      </c>
      <c r="IQL93" s="456" t="s">
        <v>116</v>
      </c>
      <c r="IQM93" s="456" t="s">
        <v>116</v>
      </c>
      <c r="IQN93" s="456" t="s">
        <v>116</v>
      </c>
      <c r="IQO93" s="456" t="s">
        <v>116</v>
      </c>
      <c r="IQP93" s="456" t="s">
        <v>116</v>
      </c>
      <c r="IQQ93" s="456" t="s">
        <v>116</v>
      </c>
      <c r="IQR93" s="456" t="s">
        <v>116</v>
      </c>
      <c r="IQS93" s="456" t="s">
        <v>116</v>
      </c>
      <c r="IQT93" s="456" t="s">
        <v>116</v>
      </c>
      <c r="IQU93" s="456" t="s">
        <v>116</v>
      </c>
      <c r="IQV93" s="456" t="s">
        <v>116</v>
      </c>
      <c r="IQW93" s="456" t="s">
        <v>116</v>
      </c>
      <c r="IQX93" s="456" t="s">
        <v>116</v>
      </c>
      <c r="IQY93" s="456" t="s">
        <v>116</v>
      </c>
      <c r="IQZ93" s="456" t="s">
        <v>116</v>
      </c>
      <c r="IRA93" s="456" t="s">
        <v>116</v>
      </c>
      <c r="IRB93" s="456" t="s">
        <v>116</v>
      </c>
      <c r="IRC93" s="456" t="s">
        <v>116</v>
      </c>
      <c r="IRD93" s="456" t="s">
        <v>116</v>
      </c>
      <c r="IRE93" s="456" t="s">
        <v>116</v>
      </c>
      <c r="IRF93" s="456" t="s">
        <v>116</v>
      </c>
      <c r="IRG93" s="456" t="s">
        <v>116</v>
      </c>
      <c r="IRH93" s="456" t="s">
        <v>116</v>
      </c>
      <c r="IRI93" s="456" t="s">
        <v>116</v>
      </c>
      <c r="IRJ93" s="456" t="s">
        <v>116</v>
      </c>
      <c r="IRK93" s="456" t="s">
        <v>116</v>
      </c>
      <c r="IRL93" s="456" t="s">
        <v>116</v>
      </c>
      <c r="IRM93" s="456" t="s">
        <v>116</v>
      </c>
      <c r="IRN93" s="456" t="s">
        <v>116</v>
      </c>
      <c r="IRO93" s="456" t="s">
        <v>116</v>
      </c>
      <c r="IRP93" s="456" t="s">
        <v>116</v>
      </c>
      <c r="IRQ93" s="456" t="s">
        <v>116</v>
      </c>
      <c r="IRR93" s="456" t="s">
        <v>116</v>
      </c>
      <c r="IRS93" s="456" t="s">
        <v>116</v>
      </c>
      <c r="IRT93" s="456" t="s">
        <v>116</v>
      </c>
      <c r="IRU93" s="456" t="s">
        <v>116</v>
      </c>
      <c r="IRV93" s="456" t="s">
        <v>116</v>
      </c>
      <c r="IRW93" s="456" t="s">
        <v>116</v>
      </c>
      <c r="IRX93" s="456" t="s">
        <v>116</v>
      </c>
      <c r="IRY93" s="456" t="s">
        <v>116</v>
      </c>
      <c r="IRZ93" s="456" t="s">
        <v>116</v>
      </c>
      <c r="ISA93" s="456" t="s">
        <v>116</v>
      </c>
      <c r="ISB93" s="456" t="s">
        <v>116</v>
      </c>
      <c r="ISC93" s="456" t="s">
        <v>116</v>
      </c>
      <c r="ISD93" s="456" t="s">
        <v>116</v>
      </c>
      <c r="ISE93" s="456" t="s">
        <v>116</v>
      </c>
      <c r="ISF93" s="456" t="s">
        <v>116</v>
      </c>
      <c r="ISG93" s="456" t="s">
        <v>116</v>
      </c>
      <c r="ISH93" s="456" t="s">
        <v>116</v>
      </c>
      <c r="ISI93" s="456" t="s">
        <v>116</v>
      </c>
      <c r="ISJ93" s="456" t="s">
        <v>116</v>
      </c>
      <c r="ISK93" s="456" t="s">
        <v>116</v>
      </c>
      <c r="ISL93" s="456" t="s">
        <v>116</v>
      </c>
      <c r="ISM93" s="456" t="s">
        <v>116</v>
      </c>
      <c r="ISN93" s="456" t="s">
        <v>116</v>
      </c>
      <c r="ISO93" s="456" t="s">
        <v>116</v>
      </c>
      <c r="ISP93" s="456" t="s">
        <v>116</v>
      </c>
      <c r="ISQ93" s="456" t="s">
        <v>116</v>
      </c>
      <c r="ISR93" s="456" t="s">
        <v>116</v>
      </c>
      <c r="ISS93" s="456" t="s">
        <v>116</v>
      </c>
      <c r="IST93" s="456" t="s">
        <v>116</v>
      </c>
      <c r="ISU93" s="456" t="s">
        <v>116</v>
      </c>
      <c r="ISV93" s="456" t="s">
        <v>116</v>
      </c>
      <c r="ISW93" s="456" t="s">
        <v>116</v>
      </c>
      <c r="ISX93" s="456" t="s">
        <v>116</v>
      </c>
      <c r="ISY93" s="456" t="s">
        <v>116</v>
      </c>
      <c r="ISZ93" s="456" t="s">
        <v>116</v>
      </c>
      <c r="ITA93" s="456" t="s">
        <v>116</v>
      </c>
      <c r="ITB93" s="456" t="s">
        <v>116</v>
      </c>
      <c r="ITC93" s="456" t="s">
        <v>116</v>
      </c>
      <c r="ITD93" s="456" t="s">
        <v>116</v>
      </c>
      <c r="ITE93" s="456" t="s">
        <v>116</v>
      </c>
      <c r="ITF93" s="456" t="s">
        <v>116</v>
      </c>
      <c r="ITG93" s="456" t="s">
        <v>116</v>
      </c>
      <c r="ITH93" s="456" t="s">
        <v>116</v>
      </c>
      <c r="ITI93" s="456" t="s">
        <v>116</v>
      </c>
      <c r="ITJ93" s="456" t="s">
        <v>116</v>
      </c>
      <c r="ITK93" s="456" t="s">
        <v>116</v>
      </c>
      <c r="ITL93" s="456" t="s">
        <v>116</v>
      </c>
      <c r="ITM93" s="456" t="s">
        <v>116</v>
      </c>
      <c r="ITN93" s="456" t="s">
        <v>116</v>
      </c>
      <c r="ITO93" s="456" t="s">
        <v>116</v>
      </c>
      <c r="ITP93" s="456" t="s">
        <v>116</v>
      </c>
      <c r="ITQ93" s="456" t="s">
        <v>116</v>
      </c>
      <c r="ITR93" s="456" t="s">
        <v>116</v>
      </c>
      <c r="ITS93" s="456" t="s">
        <v>116</v>
      </c>
      <c r="ITT93" s="456" t="s">
        <v>116</v>
      </c>
      <c r="ITU93" s="456" t="s">
        <v>116</v>
      </c>
      <c r="ITV93" s="456" t="s">
        <v>116</v>
      </c>
      <c r="ITW93" s="456" t="s">
        <v>116</v>
      </c>
      <c r="ITX93" s="456" t="s">
        <v>116</v>
      </c>
      <c r="ITY93" s="456" t="s">
        <v>116</v>
      </c>
      <c r="ITZ93" s="456" t="s">
        <v>116</v>
      </c>
      <c r="IUA93" s="456" t="s">
        <v>116</v>
      </c>
      <c r="IUB93" s="456" t="s">
        <v>116</v>
      </c>
      <c r="IUC93" s="456" t="s">
        <v>116</v>
      </c>
      <c r="IUD93" s="456" t="s">
        <v>116</v>
      </c>
      <c r="IUE93" s="456" t="s">
        <v>116</v>
      </c>
      <c r="IUF93" s="456" t="s">
        <v>116</v>
      </c>
      <c r="IUG93" s="456" t="s">
        <v>116</v>
      </c>
      <c r="IUH93" s="456" t="s">
        <v>116</v>
      </c>
      <c r="IUI93" s="456" t="s">
        <v>116</v>
      </c>
      <c r="IUJ93" s="456" t="s">
        <v>116</v>
      </c>
      <c r="IUK93" s="456" t="s">
        <v>116</v>
      </c>
      <c r="IUL93" s="456" t="s">
        <v>116</v>
      </c>
      <c r="IUM93" s="456" t="s">
        <v>116</v>
      </c>
      <c r="IUN93" s="456" t="s">
        <v>116</v>
      </c>
      <c r="IUO93" s="456" t="s">
        <v>116</v>
      </c>
      <c r="IUP93" s="456" t="s">
        <v>116</v>
      </c>
      <c r="IUQ93" s="456" t="s">
        <v>116</v>
      </c>
      <c r="IUR93" s="456" t="s">
        <v>116</v>
      </c>
      <c r="IUS93" s="456" t="s">
        <v>116</v>
      </c>
      <c r="IUT93" s="456" t="s">
        <v>116</v>
      </c>
      <c r="IUU93" s="456" t="s">
        <v>116</v>
      </c>
      <c r="IUV93" s="456" t="s">
        <v>116</v>
      </c>
      <c r="IUW93" s="456" t="s">
        <v>116</v>
      </c>
      <c r="IUX93" s="456" t="s">
        <v>116</v>
      </c>
      <c r="IUY93" s="456" t="s">
        <v>116</v>
      </c>
      <c r="IUZ93" s="456" t="s">
        <v>116</v>
      </c>
      <c r="IVA93" s="456" t="s">
        <v>116</v>
      </c>
      <c r="IVB93" s="456" t="s">
        <v>116</v>
      </c>
      <c r="IVC93" s="456" t="s">
        <v>116</v>
      </c>
      <c r="IVD93" s="456" t="s">
        <v>116</v>
      </c>
      <c r="IVE93" s="456" t="s">
        <v>116</v>
      </c>
      <c r="IVF93" s="456" t="s">
        <v>116</v>
      </c>
      <c r="IVG93" s="456" t="s">
        <v>116</v>
      </c>
      <c r="IVH93" s="456" t="s">
        <v>116</v>
      </c>
      <c r="IVI93" s="456" t="s">
        <v>116</v>
      </c>
      <c r="IVJ93" s="456" t="s">
        <v>116</v>
      </c>
      <c r="IVK93" s="456" t="s">
        <v>116</v>
      </c>
      <c r="IVL93" s="456" t="s">
        <v>116</v>
      </c>
      <c r="IVM93" s="456" t="s">
        <v>116</v>
      </c>
      <c r="IVN93" s="456" t="s">
        <v>116</v>
      </c>
      <c r="IVO93" s="456" t="s">
        <v>116</v>
      </c>
      <c r="IVP93" s="456" t="s">
        <v>116</v>
      </c>
      <c r="IVQ93" s="456" t="s">
        <v>116</v>
      </c>
      <c r="IVR93" s="456" t="s">
        <v>116</v>
      </c>
      <c r="IVS93" s="456" t="s">
        <v>116</v>
      </c>
      <c r="IVT93" s="456" t="s">
        <v>116</v>
      </c>
      <c r="IVU93" s="456" t="s">
        <v>116</v>
      </c>
      <c r="IVV93" s="456" t="s">
        <v>116</v>
      </c>
      <c r="IVW93" s="456" t="s">
        <v>116</v>
      </c>
      <c r="IVX93" s="456" t="s">
        <v>116</v>
      </c>
      <c r="IVY93" s="456" t="s">
        <v>116</v>
      </c>
      <c r="IVZ93" s="456" t="s">
        <v>116</v>
      </c>
      <c r="IWA93" s="456" t="s">
        <v>116</v>
      </c>
      <c r="IWB93" s="456" t="s">
        <v>116</v>
      </c>
      <c r="IWC93" s="456" t="s">
        <v>116</v>
      </c>
      <c r="IWD93" s="456" t="s">
        <v>116</v>
      </c>
      <c r="IWE93" s="456" t="s">
        <v>116</v>
      </c>
      <c r="IWF93" s="456" t="s">
        <v>116</v>
      </c>
      <c r="IWG93" s="456" t="s">
        <v>116</v>
      </c>
      <c r="IWH93" s="456" t="s">
        <v>116</v>
      </c>
      <c r="IWI93" s="456" t="s">
        <v>116</v>
      </c>
      <c r="IWJ93" s="456" t="s">
        <v>116</v>
      </c>
      <c r="IWK93" s="456" t="s">
        <v>116</v>
      </c>
      <c r="IWL93" s="456" t="s">
        <v>116</v>
      </c>
      <c r="IWM93" s="456" t="s">
        <v>116</v>
      </c>
      <c r="IWN93" s="456" t="s">
        <v>116</v>
      </c>
      <c r="IWO93" s="456" t="s">
        <v>116</v>
      </c>
      <c r="IWP93" s="456" t="s">
        <v>116</v>
      </c>
      <c r="IWQ93" s="456" t="s">
        <v>116</v>
      </c>
      <c r="IWR93" s="456" t="s">
        <v>116</v>
      </c>
      <c r="IWS93" s="456" t="s">
        <v>116</v>
      </c>
      <c r="IWT93" s="456" t="s">
        <v>116</v>
      </c>
      <c r="IWU93" s="456" t="s">
        <v>116</v>
      </c>
      <c r="IWV93" s="456" t="s">
        <v>116</v>
      </c>
      <c r="IWW93" s="456" t="s">
        <v>116</v>
      </c>
      <c r="IWX93" s="456" t="s">
        <v>116</v>
      </c>
      <c r="IWY93" s="456" t="s">
        <v>116</v>
      </c>
      <c r="IWZ93" s="456" t="s">
        <v>116</v>
      </c>
      <c r="IXA93" s="456" t="s">
        <v>116</v>
      </c>
      <c r="IXB93" s="456" t="s">
        <v>116</v>
      </c>
      <c r="IXC93" s="456" t="s">
        <v>116</v>
      </c>
      <c r="IXD93" s="456" t="s">
        <v>116</v>
      </c>
      <c r="IXE93" s="456" t="s">
        <v>116</v>
      </c>
      <c r="IXF93" s="456" t="s">
        <v>116</v>
      </c>
      <c r="IXG93" s="456" t="s">
        <v>116</v>
      </c>
      <c r="IXH93" s="456" t="s">
        <v>116</v>
      </c>
      <c r="IXI93" s="456" t="s">
        <v>116</v>
      </c>
      <c r="IXJ93" s="456" t="s">
        <v>116</v>
      </c>
      <c r="IXK93" s="456" t="s">
        <v>116</v>
      </c>
      <c r="IXL93" s="456" t="s">
        <v>116</v>
      </c>
      <c r="IXM93" s="456" t="s">
        <v>116</v>
      </c>
      <c r="IXN93" s="456" t="s">
        <v>116</v>
      </c>
      <c r="IXO93" s="456" t="s">
        <v>116</v>
      </c>
      <c r="IXP93" s="456" t="s">
        <v>116</v>
      </c>
      <c r="IXQ93" s="456" t="s">
        <v>116</v>
      </c>
      <c r="IXR93" s="456" t="s">
        <v>116</v>
      </c>
      <c r="IXS93" s="456" t="s">
        <v>116</v>
      </c>
      <c r="IXT93" s="456" t="s">
        <v>116</v>
      </c>
      <c r="IXU93" s="456" t="s">
        <v>116</v>
      </c>
      <c r="IXV93" s="456" t="s">
        <v>116</v>
      </c>
      <c r="IXW93" s="456" t="s">
        <v>116</v>
      </c>
      <c r="IXX93" s="456" t="s">
        <v>116</v>
      </c>
      <c r="IXY93" s="456" t="s">
        <v>116</v>
      </c>
      <c r="IXZ93" s="456" t="s">
        <v>116</v>
      </c>
      <c r="IYA93" s="456" t="s">
        <v>116</v>
      </c>
      <c r="IYB93" s="456" t="s">
        <v>116</v>
      </c>
      <c r="IYC93" s="456" t="s">
        <v>116</v>
      </c>
      <c r="IYD93" s="456" t="s">
        <v>116</v>
      </c>
      <c r="IYE93" s="456" t="s">
        <v>116</v>
      </c>
      <c r="IYF93" s="456" t="s">
        <v>116</v>
      </c>
      <c r="IYG93" s="456" t="s">
        <v>116</v>
      </c>
      <c r="IYH93" s="456" t="s">
        <v>116</v>
      </c>
      <c r="IYI93" s="456" t="s">
        <v>116</v>
      </c>
      <c r="IYJ93" s="456" t="s">
        <v>116</v>
      </c>
      <c r="IYK93" s="456" t="s">
        <v>116</v>
      </c>
      <c r="IYL93" s="456" t="s">
        <v>116</v>
      </c>
      <c r="IYM93" s="456" t="s">
        <v>116</v>
      </c>
      <c r="IYN93" s="456" t="s">
        <v>116</v>
      </c>
      <c r="IYO93" s="456" t="s">
        <v>116</v>
      </c>
      <c r="IYP93" s="456" t="s">
        <v>116</v>
      </c>
      <c r="IYQ93" s="456" t="s">
        <v>116</v>
      </c>
      <c r="IYR93" s="456" t="s">
        <v>116</v>
      </c>
      <c r="IYS93" s="456" t="s">
        <v>116</v>
      </c>
      <c r="IYT93" s="456" t="s">
        <v>116</v>
      </c>
      <c r="IYU93" s="456" t="s">
        <v>116</v>
      </c>
      <c r="IYV93" s="456" t="s">
        <v>116</v>
      </c>
      <c r="IYW93" s="456" t="s">
        <v>116</v>
      </c>
      <c r="IYX93" s="456" t="s">
        <v>116</v>
      </c>
      <c r="IYY93" s="456" t="s">
        <v>116</v>
      </c>
      <c r="IYZ93" s="456" t="s">
        <v>116</v>
      </c>
      <c r="IZA93" s="456" t="s">
        <v>116</v>
      </c>
      <c r="IZB93" s="456" t="s">
        <v>116</v>
      </c>
      <c r="IZC93" s="456" t="s">
        <v>116</v>
      </c>
      <c r="IZD93" s="456" t="s">
        <v>116</v>
      </c>
      <c r="IZE93" s="456" t="s">
        <v>116</v>
      </c>
      <c r="IZF93" s="456" t="s">
        <v>116</v>
      </c>
      <c r="IZG93" s="456" t="s">
        <v>116</v>
      </c>
      <c r="IZH93" s="456" t="s">
        <v>116</v>
      </c>
      <c r="IZI93" s="456" t="s">
        <v>116</v>
      </c>
      <c r="IZJ93" s="456" t="s">
        <v>116</v>
      </c>
      <c r="IZK93" s="456" t="s">
        <v>116</v>
      </c>
      <c r="IZL93" s="456" t="s">
        <v>116</v>
      </c>
      <c r="IZM93" s="456" t="s">
        <v>116</v>
      </c>
      <c r="IZN93" s="456" t="s">
        <v>116</v>
      </c>
      <c r="IZO93" s="456" t="s">
        <v>116</v>
      </c>
      <c r="IZP93" s="456" t="s">
        <v>116</v>
      </c>
      <c r="IZQ93" s="456" t="s">
        <v>116</v>
      </c>
      <c r="IZR93" s="456" t="s">
        <v>116</v>
      </c>
      <c r="IZS93" s="456" t="s">
        <v>116</v>
      </c>
      <c r="IZT93" s="456" t="s">
        <v>116</v>
      </c>
      <c r="IZU93" s="456" t="s">
        <v>116</v>
      </c>
      <c r="IZV93" s="456" t="s">
        <v>116</v>
      </c>
      <c r="IZW93" s="456" t="s">
        <v>116</v>
      </c>
      <c r="IZX93" s="456" t="s">
        <v>116</v>
      </c>
      <c r="IZY93" s="456" t="s">
        <v>116</v>
      </c>
      <c r="IZZ93" s="456" t="s">
        <v>116</v>
      </c>
      <c r="JAA93" s="456" t="s">
        <v>116</v>
      </c>
      <c r="JAB93" s="456" t="s">
        <v>116</v>
      </c>
      <c r="JAC93" s="456" t="s">
        <v>116</v>
      </c>
      <c r="JAD93" s="456" t="s">
        <v>116</v>
      </c>
      <c r="JAE93" s="456" t="s">
        <v>116</v>
      </c>
      <c r="JAF93" s="456" t="s">
        <v>116</v>
      </c>
      <c r="JAG93" s="456" t="s">
        <v>116</v>
      </c>
      <c r="JAH93" s="456" t="s">
        <v>116</v>
      </c>
      <c r="JAI93" s="456" t="s">
        <v>116</v>
      </c>
      <c r="JAJ93" s="456" t="s">
        <v>116</v>
      </c>
      <c r="JAK93" s="456" t="s">
        <v>116</v>
      </c>
      <c r="JAL93" s="456" t="s">
        <v>116</v>
      </c>
      <c r="JAM93" s="456" t="s">
        <v>116</v>
      </c>
      <c r="JAN93" s="456" t="s">
        <v>116</v>
      </c>
      <c r="JAO93" s="456" t="s">
        <v>116</v>
      </c>
      <c r="JAP93" s="456" t="s">
        <v>116</v>
      </c>
      <c r="JAQ93" s="456" t="s">
        <v>116</v>
      </c>
      <c r="JAR93" s="456" t="s">
        <v>116</v>
      </c>
      <c r="JAS93" s="456" t="s">
        <v>116</v>
      </c>
      <c r="JAT93" s="456" t="s">
        <v>116</v>
      </c>
      <c r="JAU93" s="456" t="s">
        <v>116</v>
      </c>
      <c r="JAV93" s="456" t="s">
        <v>116</v>
      </c>
      <c r="JAW93" s="456" t="s">
        <v>116</v>
      </c>
      <c r="JAX93" s="456" t="s">
        <v>116</v>
      </c>
      <c r="JAY93" s="456" t="s">
        <v>116</v>
      </c>
      <c r="JAZ93" s="456" t="s">
        <v>116</v>
      </c>
      <c r="JBA93" s="456" t="s">
        <v>116</v>
      </c>
      <c r="JBB93" s="456" t="s">
        <v>116</v>
      </c>
      <c r="JBC93" s="456" t="s">
        <v>116</v>
      </c>
      <c r="JBD93" s="456" t="s">
        <v>116</v>
      </c>
      <c r="JBE93" s="456" t="s">
        <v>116</v>
      </c>
      <c r="JBF93" s="456" t="s">
        <v>116</v>
      </c>
      <c r="JBG93" s="456" t="s">
        <v>116</v>
      </c>
      <c r="JBH93" s="456" t="s">
        <v>116</v>
      </c>
      <c r="JBI93" s="456" t="s">
        <v>116</v>
      </c>
      <c r="JBJ93" s="456" t="s">
        <v>116</v>
      </c>
      <c r="JBK93" s="456" t="s">
        <v>116</v>
      </c>
      <c r="JBL93" s="456" t="s">
        <v>116</v>
      </c>
      <c r="JBM93" s="456" t="s">
        <v>116</v>
      </c>
      <c r="JBN93" s="456" t="s">
        <v>116</v>
      </c>
      <c r="JBO93" s="456" t="s">
        <v>116</v>
      </c>
      <c r="JBP93" s="456" t="s">
        <v>116</v>
      </c>
      <c r="JBQ93" s="456" t="s">
        <v>116</v>
      </c>
      <c r="JBR93" s="456" t="s">
        <v>116</v>
      </c>
      <c r="JBS93" s="456" t="s">
        <v>116</v>
      </c>
      <c r="JBT93" s="456" t="s">
        <v>116</v>
      </c>
      <c r="JBU93" s="456" t="s">
        <v>116</v>
      </c>
      <c r="JBV93" s="456" t="s">
        <v>116</v>
      </c>
      <c r="JBW93" s="456" t="s">
        <v>116</v>
      </c>
      <c r="JBX93" s="456" t="s">
        <v>116</v>
      </c>
      <c r="JBY93" s="456" t="s">
        <v>116</v>
      </c>
      <c r="JBZ93" s="456" t="s">
        <v>116</v>
      </c>
      <c r="JCA93" s="456" t="s">
        <v>116</v>
      </c>
      <c r="JCB93" s="456" t="s">
        <v>116</v>
      </c>
      <c r="JCC93" s="456" t="s">
        <v>116</v>
      </c>
      <c r="JCD93" s="456" t="s">
        <v>116</v>
      </c>
      <c r="JCE93" s="456" t="s">
        <v>116</v>
      </c>
      <c r="JCF93" s="456" t="s">
        <v>116</v>
      </c>
      <c r="JCG93" s="456" t="s">
        <v>116</v>
      </c>
      <c r="JCH93" s="456" t="s">
        <v>116</v>
      </c>
      <c r="JCI93" s="456" t="s">
        <v>116</v>
      </c>
      <c r="JCJ93" s="456" t="s">
        <v>116</v>
      </c>
      <c r="JCK93" s="456" t="s">
        <v>116</v>
      </c>
      <c r="JCL93" s="456" t="s">
        <v>116</v>
      </c>
      <c r="JCM93" s="456" t="s">
        <v>116</v>
      </c>
      <c r="JCN93" s="456" t="s">
        <v>116</v>
      </c>
      <c r="JCO93" s="456" t="s">
        <v>116</v>
      </c>
      <c r="JCP93" s="456" t="s">
        <v>116</v>
      </c>
      <c r="JCQ93" s="456" t="s">
        <v>116</v>
      </c>
      <c r="JCR93" s="456" t="s">
        <v>116</v>
      </c>
      <c r="JCS93" s="456" t="s">
        <v>116</v>
      </c>
      <c r="JCT93" s="456" t="s">
        <v>116</v>
      </c>
      <c r="JCU93" s="456" t="s">
        <v>116</v>
      </c>
      <c r="JCV93" s="456" t="s">
        <v>116</v>
      </c>
      <c r="JCW93" s="456" t="s">
        <v>116</v>
      </c>
      <c r="JCX93" s="456" t="s">
        <v>116</v>
      </c>
      <c r="JCY93" s="456" t="s">
        <v>116</v>
      </c>
      <c r="JCZ93" s="456" t="s">
        <v>116</v>
      </c>
      <c r="JDA93" s="456" t="s">
        <v>116</v>
      </c>
      <c r="JDB93" s="456" t="s">
        <v>116</v>
      </c>
      <c r="JDC93" s="456" t="s">
        <v>116</v>
      </c>
      <c r="JDD93" s="456" t="s">
        <v>116</v>
      </c>
      <c r="JDE93" s="456" t="s">
        <v>116</v>
      </c>
      <c r="JDF93" s="456" t="s">
        <v>116</v>
      </c>
      <c r="JDG93" s="456" t="s">
        <v>116</v>
      </c>
      <c r="JDH93" s="456" t="s">
        <v>116</v>
      </c>
      <c r="JDI93" s="456" t="s">
        <v>116</v>
      </c>
      <c r="JDJ93" s="456" t="s">
        <v>116</v>
      </c>
      <c r="JDK93" s="456" t="s">
        <v>116</v>
      </c>
      <c r="JDL93" s="456" t="s">
        <v>116</v>
      </c>
      <c r="JDM93" s="456" t="s">
        <v>116</v>
      </c>
      <c r="JDN93" s="456" t="s">
        <v>116</v>
      </c>
      <c r="JDO93" s="456" t="s">
        <v>116</v>
      </c>
      <c r="JDP93" s="456" t="s">
        <v>116</v>
      </c>
      <c r="JDQ93" s="456" t="s">
        <v>116</v>
      </c>
      <c r="JDR93" s="456" t="s">
        <v>116</v>
      </c>
      <c r="JDS93" s="456" t="s">
        <v>116</v>
      </c>
      <c r="JDT93" s="456" t="s">
        <v>116</v>
      </c>
      <c r="JDU93" s="456" t="s">
        <v>116</v>
      </c>
      <c r="JDV93" s="456" t="s">
        <v>116</v>
      </c>
      <c r="JDW93" s="456" t="s">
        <v>116</v>
      </c>
      <c r="JDX93" s="456" t="s">
        <v>116</v>
      </c>
      <c r="JDY93" s="456" t="s">
        <v>116</v>
      </c>
      <c r="JDZ93" s="456" t="s">
        <v>116</v>
      </c>
      <c r="JEA93" s="456" t="s">
        <v>116</v>
      </c>
      <c r="JEB93" s="456" t="s">
        <v>116</v>
      </c>
      <c r="JEC93" s="456" t="s">
        <v>116</v>
      </c>
      <c r="JED93" s="456" t="s">
        <v>116</v>
      </c>
      <c r="JEE93" s="456" t="s">
        <v>116</v>
      </c>
      <c r="JEF93" s="456" t="s">
        <v>116</v>
      </c>
      <c r="JEG93" s="456" t="s">
        <v>116</v>
      </c>
      <c r="JEH93" s="456" t="s">
        <v>116</v>
      </c>
      <c r="JEI93" s="456" t="s">
        <v>116</v>
      </c>
      <c r="JEJ93" s="456" t="s">
        <v>116</v>
      </c>
      <c r="JEK93" s="456" t="s">
        <v>116</v>
      </c>
      <c r="JEL93" s="456" t="s">
        <v>116</v>
      </c>
      <c r="JEM93" s="456" t="s">
        <v>116</v>
      </c>
      <c r="JEN93" s="456" t="s">
        <v>116</v>
      </c>
      <c r="JEO93" s="456" t="s">
        <v>116</v>
      </c>
      <c r="JEP93" s="456" t="s">
        <v>116</v>
      </c>
      <c r="JEQ93" s="456" t="s">
        <v>116</v>
      </c>
      <c r="JER93" s="456" t="s">
        <v>116</v>
      </c>
      <c r="JES93" s="456" t="s">
        <v>116</v>
      </c>
      <c r="JET93" s="456" t="s">
        <v>116</v>
      </c>
      <c r="JEU93" s="456" t="s">
        <v>116</v>
      </c>
      <c r="JEV93" s="456" t="s">
        <v>116</v>
      </c>
      <c r="JEW93" s="456" t="s">
        <v>116</v>
      </c>
      <c r="JEX93" s="456" t="s">
        <v>116</v>
      </c>
      <c r="JEY93" s="456" t="s">
        <v>116</v>
      </c>
      <c r="JEZ93" s="456" t="s">
        <v>116</v>
      </c>
      <c r="JFA93" s="456" t="s">
        <v>116</v>
      </c>
      <c r="JFB93" s="456" t="s">
        <v>116</v>
      </c>
      <c r="JFC93" s="456" t="s">
        <v>116</v>
      </c>
      <c r="JFD93" s="456" t="s">
        <v>116</v>
      </c>
      <c r="JFE93" s="456" t="s">
        <v>116</v>
      </c>
      <c r="JFF93" s="456" t="s">
        <v>116</v>
      </c>
      <c r="JFG93" s="456" t="s">
        <v>116</v>
      </c>
      <c r="JFH93" s="456" t="s">
        <v>116</v>
      </c>
      <c r="JFI93" s="456" t="s">
        <v>116</v>
      </c>
      <c r="JFJ93" s="456" t="s">
        <v>116</v>
      </c>
      <c r="JFK93" s="456" t="s">
        <v>116</v>
      </c>
      <c r="JFL93" s="456" t="s">
        <v>116</v>
      </c>
      <c r="JFM93" s="456" t="s">
        <v>116</v>
      </c>
      <c r="JFN93" s="456" t="s">
        <v>116</v>
      </c>
      <c r="JFO93" s="456" t="s">
        <v>116</v>
      </c>
      <c r="JFP93" s="456" t="s">
        <v>116</v>
      </c>
      <c r="JFQ93" s="456" t="s">
        <v>116</v>
      </c>
      <c r="JFR93" s="456" t="s">
        <v>116</v>
      </c>
      <c r="JFS93" s="456" t="s">
        <v>116</v>
      </c>
      <c r="JFT93" s="456" t="s">
        <v>116</v>
      </c>
      <c r="JFU93" s="456" t="s">
        <v>116</v>
      </c>
      <c r="JFV93" s="456" t="s">
        <v>116</v>
      </c>
      <c r="JFW93" s="456" t="s">
        <v>116</v>
      </c>
      <c r="JFX93" s="456" t="s">
        <v>116</v>
      </c>
      <c r="JFY93" s="456" t="s">
        <v>116</v>
      </c>
      <c r="JFZ93" s="456" t="s">
        <v>116</v>
      </c>
      <c r="JGA93" s="456" t="s">
        <v>116</v>
      </c>
      <c r="JGB93" s="456" t="s">
        <v>116</v>
      </c>
      <c r="JGC93" s="456" t="s">
        <v>116</v>
      </c>
      <c r="JGD93" s="456" t="s">
        <v>116</v>
      </c>
      <c r="JGE93" s="456" t="s">
        <v>116</v>
      </c>
      <c r="JGF93" s="456" t="s">
        <v>116</v>
      </c>
      <c r="JGG93" s="456" t="s">
        <v>116</v>
      </c>
      <c r="JGH93" s="456" t="s">
        <v>116</v>
      </c>
      <c r="JGI93" s="456" t="s">
        <v>116</v>
      </c>
      <c r="JGJ93" s="456" t="s">
        <v>116</v>
      </c>
      <c r="JGK93" s="456" t="s">
        <v>116</v>
      </c>
      <c r="JGL93" s="456" t="s">
        <v>116</v>
      </c>
      <c r="JGM93" s="456" t="s">
        <v>116</v>
      </c>
      <c r="JGN93" s="456" t="s">
        <v>116</v>
      </c>
      <c r="JGO93" s="456" t="s">
        <v>116</v>
      </c>
      <c r="JGP93" s="456" t="s">
        <v>116</v>
      </c>
      <c r="JGQ93" s="456" t="s">
        <v>116</v>
      </c>
      <c r="JGR93" s="456" t="s">
        <v>116</v>
      </c>
      <c r="JGS93" s="456" t="s">
        <v>116</v>
      </c>
      <c r="JGT93" s="456" t="s">
        <v>116</v>
      </c>
      <c r="JGU93" s="456" t="s">
        <v>116</v>
      </c>
      <c r="JGV93" s="456" t="s">
        <v>116</v>
      </c>
      <c r="JGW93" s="456" t="s">
        <v>116</v>
      </c>
      <c r="JGX93" s="456" t="s">
        <v>116</v>
      </c>
      <c r="JGY93" s="456" t="s">
        <v>116</v>
      </c>
      <c r="JGZ93" s="456" t="s">
        <v>116</v>
      </c>
      <c r="JHA93" s="456" t="s">
        <v>116</v>
      </c>
      <c r="JHB93" s="456" t="s">
        <v>116</v>
      </c>
      <c r="JHC93" s="456" t="s">
        <v>116</v>
      </c>
      <c r="JHD93" s="456" t="s">
        <v>116</v>
      </c>
      <c r="JHE93" s="456" t="s">
        <v>116</v>
      </c>
      <c r="JHF93" s="456" t="s">
        <v>116</v>
      </c>
      <c r="JHG93" s="456" t="s">
        <v>116</v>
      </c>
      <c r="JHH93" s="456" t="s">
        <v>116</v>
      </c>
      <c r="JHI93" s="456" t="s">
        <v>116</v>
      </c>
      <c r="JHJ93" s="456" t="s">
        <v>116</v>
      </c>
      <c r="JHK93" s="456" t="s">
        <v>116</v>
      </c>
      <c r="JHL93" s="456" t="s">
        <v>116</v>
      </c>
      <c r="JHM93" s="456" t="s">
        <v>116</v>
      </c>
      <c r="JHN93" s="456" t="s">
        <v>116</v>
      </c>
      <c r="JHO93" s="456" t="s">
        <v>116</v>
      </c>
      <c r="JHP93" s="456" t="s">
        <v>116</v>
      </c>
      <c r="JHQ93" s="456" t="s">
        <v>116</v>
      </c>
      <c r="JHR93" s="456" t="s">
        <v>116</v>
      </c>
      <c r="JHS93" s="456" t="s">
        <v>116</v>
      </c>
      <c r="JHT93" s="456" t="s">
        <v>116</v>
      </c>
      <c r="JHU93" s="456" t="s">
        <v>116</v>
      </c>
      <c r="JHV93" s="456" t="s">
        <v>116</v>
      </c>
      <c r="JHW93" s="456" t="s">
        <v>116</v>
      </c>
      <c r="JHX93" s="456" t="s">
        <v>116</v>
      </c>
      <c r="JHY93" s="456" t="s">
        <v>116</v>
      </c>
      <c r="JHZ93" s="456" t="s">
        <v>116</v>
      </c>
      <c r="JIA93" s="456" t="s">
        <v>116</v>
      </c>
      <c r="JIB93" s="456" t="s">
        <v>116</v>
      </c>
      <c r="JIC93" s="456" t="s">
        <v>116</v>
      </c>
      <c r="JID93" s="456" t="s">
        <v>116</v>
      </c>
      <c r="JIE93" s="456" t="s">
        <v>116</v>
      </c>
      <c r="JIF93" s="456" t="s">
        <v>116</v>
      </c>
      <c r="JIG93" s="456" t="s">
        <v>116</v>
      </c>
      <c r="JIH93" s="456" t="s">
        <v>116</v>
      </c>
      <c r="JII93" s="456" t="s">
        <v>116</v>
      </c>
      <c r="JIJ93" s="456" t="s">
        <v>116</v>
      </c>
      <c r="JIK93" s="456" t="s">
        <v>116</v>
      </c>
      <c r="JIL93" s="456" t="s">
        <v>116</v>
      </c>
      <c r="JIM93" s="456" t="s">
        <v>116</v>
      </c>
      <c r="JIN93" s="456" t="s">
        <v>116</v>
      </c>
      <c r="JIO93" s="456" t="s">
        <v>116</v>
      </c>
      <c r="JIP93" s="456" t="s">
        <v>116</v>
      </c>
      <c r="JIQ93" s="456" t="s">
        <v>116</v>
      </c>
      <c r="JIR93" s="456" t="s">
        <v>116</v>
      </c>
      <c r="JIS93" s="456" t="s">
        <v>116</v>
      </c>
      <c r="JIT93" s="456" t="s">
        <v>116</v>
      </c>
      <c r="JIU93" s="456" t="s">
        <v>116</v>
      </c>
      <c r="JIV93" s="456" t="s">
        <v>116</v>
      </c>
      <c r="JIW93" s="456" t="s">
        <v>116</v>
      </c>
      <c r="JIX93" s="456" t="s">
        <v>116</v>
      </c>
      <c r="JIY93" s="456" t="s">
        <v>116</v>
      </c>
      <c r="JIZ93" s="456" t="s">
        <v>116</v>
      </c>
      <c r="JJA93" s="456" t="s">
        <v>116</v>
      </c>
      <c r="JJB93" s="456" t="s">
        <v>116</v>
      </c>
      <c r="JJC93" s="456" t="s">
        <v>116</v>
      </c>
      <c r="JJD93" s="456" t="s">
        <v>116</v>
      </c>
      <c r="JJE93" s="456" t="s">
        <v>116</v>
      </c>
      <c r="JJF93" s="456" t="s">
        <v>116</v>
      </c>
      <c r="JJG93" s="456" t="s">
        <v>116</v>
      </c>
      <c r="JJH93" s="456" t="s">
        <v>116</v>
      </c>
      <c r="JJI93" s="456" t="s">
        <v>116</v>
      </c>
      <c r="JJJ93" s="456" t="s">
        <v>116</v>
      </c>
      <c r="JJK93" s="456" t="s">
        <v>116</v>
      </c>
      <c r="JJL93" s="456" t="s">
        <v>116</v>
      </c>
      <c r="JJM93" s="456" t="s">
        <v>116</v>
      </c>
      <c r="JJN93" s="456" t="s">
        <v>116</v>
      </c>
      <c r="JJO93" s="456" t="s">
        <v>116</v>
      </c>
      <c r="JJP93" s="456" t="s">
        <v>116</v>
      </c>
      <c r="JJQ93" s="456" t="s">
        <v>116</v>
      </c>
      <c r="JJR93" s="456" t="s">
        <v>116</v>
      </c>
      <c r="JJS93" s="456" t="s">
        <v>116</v>
      </c>
      <c r="JJT93" s="456" t="s">
        <v>116</v>
      </c>
      <c r="JJU93" s="456" t="s">
        <v>116</v>
      </c>
      <c r="JJV93" s="456" t="s">
        <v>116</v>
      </c>
      <c r="JJW93" s="456" t="s">
        <v>116</v>
      </c>
      <c r="JJX93" s="456" t="s">
        <v>116</v>
      </c>
      <c r="JJY93" s="456" t="s">
        <v>116</v>
      </c>
      <c r="JJZ93" s="456" t="s">
        <v>116</v>
      </c>
      <c r="JKA93" s="456" t="s">
        <v>116</v>
      </c>
      <c r="JKB93" s="456" t="s">
        <v>116</v>
      </c>
      <c r="JKC93" s="456" t="s">
        <v>116</v>
      </c>
      <c r="JKD93" s="456" t="s">
        <v>116</v>
      </c>
      <c r="JKE93" s="456" t="s">
        <v>116</v>
      </c>
      <c r="JKF93" s="456" t="s">
        <v>116</v>
      </c>
      <c r="JKG93" s="456" t="s">
        <v>116</v>
      </c>
      <c r="JKH93" s="456" t="s">
        <v>116</v>
      </c>
      <c r="JKI93" s="456" t="s">
        <v>116</v>
      </c>
      <c r="JKJ93" s="456" t="s">
        <v>116</v>
      </c>
      <c r="JKK93" s="456" t="s">
        <v>116</v>
      </c>
      <c r="JKL93" s="456" t="s">
        <v>116</v>
      </c>
      <c r="JKM93" s="456" t="s">
        <v>116</v>
      </c>
      <c r="JKN93" s="456" t="s">
        <v>116</v>
      </c>
      <c r="JKO93" s="456" t="s">
        <v>116</v>
      </c>
      <c r="JKP93" s="456" t="s">
        <v>116</v>
      </c>
      <c r="JKQ93" s="456" t="s">
        <v>116</v>
      </c>
      <c r="JKR93" s="456" t="s">
        <v>116</v>
      </c>
      <c r="JKS93" s="456" t="s">
        <v>116</v>
      </c>
      <c r="JKT93" s="456" t="s">
        <v>116</v>
      </c>
      <c r="JKU93" s="456" t="s">
        <v>116</v>
      </c>
      <c r="JKV93" s="456" t="s">
        <v>116</v>
      </c>
      <c r="JKW93" s="456" t="s">
        <v>116</v>
      </c>
      <c r="JKX93" s="456" t="s">
        <v>116</v>
      </c>
      <c r="JKY93" s="456" t="s">
        <v>116</v>
      </c>
      <c r="JKZ93" s="456" t="s">
        <v>116</v>
      </c>
      <c r="JLA93" s="456" t="s">
        <v>116</v>
      </c>
      <c r="JLB93" s="456" t="s">
        <v>116</v>
      </c>
      <c r="JLC93" s="456" t="s">
        <v>116</v>
      </c>
      <c r="JLD93" s="456" t="s">
        <v>116</v>
      </c>
      <c r="JLE93" s="456" t="s">
        <v>116</v>
      </c>
      <c r="JLF93" s="456" t="s">
        <v>116</v>
      </c>
      <c r="JLG93" s="456" t="s">
        <v>116</v>
      </c>
      <c r="JLH93" s="456" t="s">
        <v>116</v>
      </c>
      <c r="JLI93" s="456" t="s">
        <v>116</v>
      </c>
      <c r="JLJ93" s="456" t="s">
        <v>116</v>
      </c>
      <c r="JLK93" s="456" t="s">
        <v>116</v>
      </c>
      <c r="JLL93" s="456" t="s">
        <v>116</v>
      </c>
      <c r="JLM93" s="456" t="s">
        <v>116</v>
      </c>
      <c r="JLN93" s="456" t="s">
        <v>116</v>
      </c>
      <c r="JLO93" s="456" t="s">
        <v>116</v>
      </c>
      <c r="JLP93" s="456" t="s">
        <v>116</v>
      </c>
      <c r="JLQ93" s="456" t="s">
        <v>116</v>
      </c>
      <c r="JLR93" s="456" t="s">
        <v>116</v>
      </c>
      <c r="JLS93" s="456" t="s">
        <v>116</v>
      </c>
      <c r="JLT93" s="456" t="s">
        <v>116</v>
      </c>
      <c r="JLU93" s="456" t="s">
        <v>116</v>
      </c>
      <c r="JLV93" s="456" t="s">
        <v>116</v>
      </c>
      <c r="JLW93" s="456" t="s">
        <v>116</v>
      </c>
      <c r="JLX93" s="456" t="s">
        <v>116</v>
      </c>
      <c r="JLY93" s="456" t="s">
        <v>116</v>
      </c>
      <c r="JLZ93" s="456" t="s">
        <v>116</v>
      </c>
      <c r="JMA93" s="456" t="s">
        <v>116</v>
      </c>
      <c r="JMB93" s="456" t="s">
        <v>116</v>
      </c>
      <c r="JMC93" s="456" t="s">
        <v>116</v>
      </c>
      <c r="JMD93" s="456" t="s">
        <v>116</v>
      </c>
      <c r="JME93" s="456" t="s">
        <v>116</v>
      </c>
      <c r="JMF93" s="456" t="s">
        <v>116</v>
      </c>
      <c r="JMG93" s="456" t="s">
        <v>116</v>
      </c>
      <c r="JMH93" s="456" t="s">
        <v>116</v>
      </c>
      <c r="JMI93" s="456" t="s">
        <v>116</v>
      </c>
      <c r="JMJ93" s="456" t="s">
        <v>116</v>
      </c>
      <c r="JMK93" s="456" t="s">
        <v>116</v>
      </c>
      <c r="JML93" s="456" t="s">
        <v>116</v>
      </c>
      <c r="JMM93" s="456" t="s">
        <v>116</v>
      </c>
      <c r="JMN93" s="456" t="s">
        <v>116</v>
      </c>
      <c r="JMO93" s="456" t="s">
        <v>116</v>
      </c>
      <c r="JMP93" s="456" t="s">
        <v>116</v>
      </c>
      <c r="JMQ93" s="456" t="s">
        <v>116</v>
      </c>
      <c r="JMR93" s="456" t="s">
        <v>116</v>
      </c>
      <c r="JMS93" s="456" t="s">
        <v>116</v>
      </c>
      <c r="JMT93" s="456" t="s">
        <v>116</v>
      </c>
      <c r="JMU93" s="456" t="s">
        <v>116</v>
      </c>
      <c r="JMV93" s="456" t="s">
        <v>116</v>
      </c>
      <c r="JMW93" s="456" t="s">
        <v>116</v>
      </c>
      <c r="JMX93" s="456" t="s">
        <v>116</v>
      </c>
      <c r="JMY93" s="456" t="s">
        <v>116</v>
      </c>
      <c r="JMZ93" s="456" t="s">
        <v>116</v>
      </c>
      <c r="JNA93" s="456" t="s">
        <v>116</v>
      </c>
      <c r="JNB93" s="456" t="s">
        <v>116</v>
      </c>
      <c r="JNC93" s="456" t="s">
        <v>116</v>
      </c>
      <c r="JND93" s="456" t="s">
        <v>116</v>
      </c>
      <c r="JNE93" s="456" t="s">
        <v>116</v>
      </c>
      <c r="JNF93" s="456" t="s">
        <v>116</v>
      </c>
      <c r="JNG93" s="456" t="s">
        <v>116</v>
      </c>
      <c r="JNH93" s="456" t="s">
        <v>116</v>
      </c>
      <c r="JNI93" s="456" t="s">
        <v>116</v>
      </c>
      <c r="JNJ93" s="456" t="s">
        <v>116</v>
      </c>
      <c r="JNK93" s="456" t="s">
        <v>116</v>
      </c>
      <c r="JNL93" s="456" t="s">
        <v>116</v>
      </c>
      <c r="JNM93" s="456" t="s">
        <v>116</v>
      </c>
      <c r="JNN93" s="456" t="s">
        <v>116</v>
      </c>
      <c r="JNO93" s="456" t="s">
        <v>116</v>
      </c>
      <c r="JNP93" s="456" t="s">
        <v>116</v>
      </c>
      <c r="JNQ93" s="456" t="s">
        <v>116</v>
      </c>
      <c r="JNR93" s="456" t="s">
        <v>116</v>
      </c>
      <c r="JNS93" s="456" t="s">
        <v>116</v>
      </c>
      <c r="JNT93" s="456" t="s">
        <v>116</v>
      </c>
      <c r="JNU93" s="456" t="s">
        <v>116</v>
      </c>
      <c r="JNV93" s="456" t="s">
        <v>116</v>
      </c>
      <c r="JNW93" s="456" t="s">
        <v>116</v>
      </c>
      <c r="JNX93" s="456" t="s">
        <v>116</v>
      </c>
      <c r="JNY93" s="456" t="s">
        <v>116</v>
      </c>
      <c r="JNZ93" s="456" t="s">
        <v>116</v>
      </c>
      <c r="JOA93" s="456" t="s">
        <v>116</v>
      </c>
      <c r="JOB93" s="456" t="s">
        <v>116</v>
      </c>
      <c r="JOC93" s="456" t="s">
        <v>116</v>
      </c>
      <c r="JOD93" s="456" t="s">
        <v>116</v>
      </c>
      <c r="JOE93" s="456" t="s">
        <v>116</v>
      </c>
      <c r="JOF93" s="456" t="s">
        <v>116</v>
      </c>
      <c r="JOG93" s="456" t="s">
        <v>116</v>
      </c>
      <c r="JOH93" s="456" t="s">
        <v>116</v>
      </c>
      <c r="JOI93" s="456" t="s">
        <v>116</v>
      </c>
      <c r="JOJ93" s="456" t="s">
        <v>116</v>
      </c>
      <c r="JOK93" s="456" t="s">
        <v>116</v>
      </c>
      <c r="JOL93" s="456" t="s">
        <v>116</v>
      </c>
      <c r="JOM93" s="456" t="s">
        <v>116</v>
      </c>
      <c r="JON93" s="456" t="s">
        <v>116</v>
      </c>
      <c r="JOO93" s="456" t="s">
        <v>116</v>
      </c>
      <c r="JOP93" s="456" t="s">
        <v>116</v>
      </c>
      <c r="JOQ93" s="456" t="s">
        <v>116</v>
      </c>
      <c r="JOR93" s="456" t="s">
        <v>116</v>
      </c>
      <c r="JOS93" s="456" t="s">
        <v>116</v>
      </c>
      <c r="JOT93" s="456" t="s">
        <v>116</v>
      </c>
      <c r="JOU93" s="456" t="s">
        <v>116</v>
      </c>
      <c r="JOV93" s="456" t="s">
        <v>116</v>
      </c>
      <c r="JOW93" s="456" t="s">
        <v>116</v>
      </c>
      <c r="JOX93" s="456" t="s">
        <v>116</v>
      </c>
      <c r="JOY93" s="456" t="s">
        <v>116</v>
      </c>
      <c r="JOZ93" s="456" t="s">
        <v>116</v>
      </c>
      <c r="JPA93" s="456" t="s">
        <v>116</v>
      </c>
      <c r="JPB93" s="456" t="s">
        <v>116</v>
      </c>
      <c r="JPC93" s="456" t="s">
        <v>116</v>
      </c>
      <c r="JPD93" s="456" t="s">
        <v>116</v>
      </c>
      <c r="JPE93" s="456" t="s">
        <v>116</v>
      </c>
      <c r="JPF93" s="456" t="s">
        <v>116</v>
      </c>
      <c r="JPG93" s="456" t="s">
        <v>116</v>
      </c>
      <c r="JPH93" s="456" t="s">
        <v>116</v>
      </c>
      <c r="JPI93" s="456" t="s">
        <v>116</v>
      </c>
      <c r="JPJ93" s="456" t="s">
        <v>116</v>
      </c>
      <c r="JPK93" s="456" t="s">
        <v>116</v>
      </c>
      <c r="JPL93" s="456" t="s">
        <v>116</v>
      </c>
      <c r="JPM93" s="456" t="s">
        <v>116</v>
      </c>
      <c r="JPN93" s="456" t="s">
        <v>116</v>
      </c>
      <c r="JPO93" s="456" t="s">
        <v>116</v>
      </c>
      <c r="JPP93" s="456" t="s">
        <v>116</v>
      </c>
      <c r="JPQ93" s="456" t="s">
        <v>116</v>
      </c>
      <c r="JPR93" s="456" t="s">
        <v>116</v>
      </c>
      <c r="JPS93" s="456" t="s">
        <v>116</v>
      </c>
      <c r="JPT93" s="456" t="s">
        <v>116</v>
      </c>
      <c r="JPU93" s="456" t="s">
        <v>116</v>
      </c>
      <c r="JPV93" s="456" t="s">
        <v>116</v>
      </c>
      <c r="JPW93" s="456" t="s">
        <v>116</v>
      </c>
      <c r="JPX93" s="456" t="s">
        <v>116</v>
      </c>
      <c r="JPY93" s="456" t="s">
        <v>116</v>
      </c>
      <c r="JPZ93" s="456" t="s">
        <v>116</v>
      </c>
      <c r="JQA93" s="456" t="s">
        <v>116</v>
      </c>
      <c r="JQB93" s="456" t="s">
        <v>116</v>
      </c>
      <c r="JQC93" s="456" t="s">
        <v>116</v>
      </c>
      <c r="JQD93" s="456" t="s">
        <v>116</v>
      </c>
      <c r="JQE93" s="456" t="s">
        <v>116</v>
      </c>
      <c r="JQF93" s="456" t="s">
        <v>116</v>
      </c>
      <c r="JQG93" s="456" t="s">
        <v>116</v>
      </c>
      <c r="JQH93" s="456" t="s">
        <v>116</v>
      </c>
      <c r="JQI93" s="456" t="s">
        <v>116</v>
      </c>
      <c r="JQJ93" s="456" t="s">
        <v>116</v>
      </c>
      <c r="JQK93" s="456" t="s">
        <v>116</v>
      </c>
      <c r="JQL93" s="456" t="s">
        <v>116</v>
      </c>
      <c r="JQM93" s="456" t="s">
        <v>116</v>
      </c>
      <c r="JQN93" s="456" t="s">
        <v>116</v>
      </c>
      <c r="JQO93" s="456" t="s">
        <v>116</v>
      </c>
      <c r="JQP93" s="456" t="s">
        <v>116</v>
      </c>
      <c r="JQQ93" s="456" t="s">
        <v>116</v>
      </c>
      <c r="JQR93" s="456" t="s">
        <v>116</v>
      </c>
      <c r="JQS93" s="456" t="s">
        <v>116</v>
      </c>
      <c r="JQT93" s="456" t="s">
        <v>116</v>
      </c>
      <c r="JQU93" s="456" t="s">
        <v>116</v>
      </c>
      <c r="JQV93" s="456" t="s">
        <v>116</v>
      </c>
      <c r="JQW93" s="456" t="s">
        <v>116</v>
      </c>
      <c r="JQX93" s="456" t="s">
        <v>116</v>
      </c>
      <c r="JQY93" s="456" t="s">
        <v>116</v>
      </c>
      <c r="JQZ93" s="456" t="s">
        <v>116</v>
      </c>
      <c r="JRA93" s="456" t="s">
        <v>116</v>
      </c>
      <c r="JRB93" s="456" t="s">
        <v>116</v>
      </c>
      <c r="JRC93" s="456" t="s">
        <v>116</v>
      </c>
      <c r="JRD93" s="456" t="s">
        <v>116</v>
      </c>
      <c r="JRE93" s="456" t="s">
        <v>116</v>
      </c>
      <c r="JRF93" s="456" t="s">
        <v>116</v>
      </c>
      <c r="JRG93" s="456" t="s">
        <v>116</v>
      </c>
      <c r="JRH93" s="456" t="s">
        <v>116</v>
      </c>
      <c r="JRI93" s="456" t="s">
        <v>116</v>
      </c>
      <c r="JRJ93" s="456" t="s">
        <v>116</v>
      </c>
      <c r="JRK93" s="456" t="s">
        <v>116</v>
      </c>
      <c r="JRL93" s="456" t="s">
        <v>116</v>
      </c>
      <c r="JRM93" s="456" t="s">
        <v>116</v>
      </c>
      <c r="JRN93" s="456" t="s">
        <v>116</v>
      </c>
      <c r="JRO93" s="456" t="s">
        <v>116</v>
      </c>
      <c r="JRP93" s="456" t="s">
        <v>116</v>
      </c>
      <c r="JRQ93" s="456" t="s">
        <v>116</v>
      </c>
      <c r="JRR93" s="456" t="s">
        <v>116</v>
      </c>
      <c r="JRS93" s="456" t="s">
        <v>116</v>
      </c>
      <c r="JRT93" s="456" t="s">
        <v>116</v>
      </c>
      <c r="JRU93" s="456" t="s">
        <v>116</v>
      </c>
      <c r="JRV93" s="456" t="s">
        <v>116</v>
      </c>
      <c r="JRW93" s="456" t="s">
        <v>116</v>
      </c>
      <c r="JRX93" s="456" t="s">
        <v>116</v>
      </c>
      <c r="JRY93" s="456" t="s">
        <v>116</v>
      </c>
      <c r="JRZ93" s="456" t="s">
        <v>116</v>
      </c>
      <c r="JSA93" s="456" t="s">
        <v>116</v>
      </c>
      <c r="JSB93" s="456" t="s">
        <v>116</v>
      </c>
      <c r="JSC93" s="456" t="s">
        <v>116</v>
      </c>
      <c r="JSD93" s="456" t="s">
        <v>116</v>
      </c>
      <c r="JSE93" s="456" t="s">
        <v>116</v>
      </c>
      <c r="JSF93" s="456" t="s">
        <v>116</v>
      </c>
      <c r="JSG93" s="456" t="s">
        <v>116</v>
      </c>
      <c r="JSH93" s="456" t="s">
        <v>116</v>
      </c>
      <c r="JSI93" s="456" t="s">
        <v>116</v>
      </c>
      <c r="JSJ93" s="456" t="s">
        <v>116</v>
      </c>
      <c r="JSK93" s="456" t="s">
        <v>116</v>
      </c>
      <c r="JSL93" s="456" t="s">
        <v>116</v>
      </c>
      <c r="JSM93" s="456" t="s">
        <v>116</v>
      </c>
      <c r="JSN93" s="456" t="s">
        <v>116</v>
      </c>
      <c r="JSO93" s="456" t="s">
        <v>116</v>
      </c>
      <c r="JSP93" s="456" t="s">
        <v>116</v>
      </c>
      <c r="JSQ93" s="456" t="s">
        <v>116</v>
      </c>
      <c r="JSR93" s="456" t="s">
        <v>116</v>
      </c>
      <c r="JSS93" s="456" t="s">
        <v>116</v>
      </c>
      <c r="JST93" s="456" t="s">
        <v>116</v>
      </c>
      <c r="JSU93" s="456" t="s">
        <v>116</v>
      </c>
      <c r="JSV93" s="456" t="s">
        <v>116</v>
      </c>
      <c r="JSW93" s="456" t="s">
        <v>116</v>
      </c>
      <c r="JSX93" s="456" t="s">
        <v>116</v>
      </c>
      <c r="JSY93" s="456" t="s">
        <v>116</v>
      </c>
      <c r="JSZ93" s="456" t="s">
        <v>116</v>
      </c>
      <c r="JTA93" s="456" t="s">
        <v>116</v>
      </c>
      <c r="JTB93" s="456" t="s">
        <v>116</v>
      </c>
      <c r="JTC93" s="456" t="s">
        <v>116</v>
      </c>
      <c r="JTD93" s="456" t="s">
        <v>116</v>
      </c>
      <c r="JTE93" s="456" t="s">
        <v>116</v>
      </c>
      <c r="JTF93" s="456" t="s">
        <v>116</v>
      </c>
      <c r="JTG93" s="456" t="s">
        <v>116</v>
      </c>
      <c r="JTH93" s="456" t="s">
        <v>116</v>
      </c>
      <c r="JTI93" s="456" t="s">
        <v>116</v>
      </c>
      <c r="JTJ93" s="456" t="s">
        <v>116</v>
      </c>
      <c r="JTK93" s="456" t="s">
        <v>116</v>
      </c>
      <c r="JTL93" s="456" t="s">
        <v>116</v>
      </c>
      <c r="JTM93" s="456" t="s">
        <v>116</v>
      </c>
      <c r="JTN93" s="456" t="s">
        <v>116</v>
      </c>
      <c r="JTO93" s="456" t="s">
        <v>116</v>
      </c>
      <c r="JTP93" s="456" t="s">
        <v>116</v>
      </c>
      <c r="JTQ93" s="456" t="s">
        <v>116</v>
      </c>
      <c r="JTR93" s="456" t="s">
        <v>116</v>
      </c>
      <c r="JTS93" s="456" t="s">
        <v>116</v>
      </c>
      <c r="JTT93" s="456" t="s">
        <v>116</v>
      </c>
      <c r="JTU93" s="456" t="s">
        <v>116</v>
      </c>
      <c r="JTV93" s="456" t="s">
        <v>116</v>
      </c>
      <c r="JTW93" s="456" t="s">
        <v>116</v>
      </c>
      <c r="JTX93" s="456" t="s">
        <v>116</v>
      </c>
      <c r="JTY93" s="456" t="s">
        <v>116</v>
      </c>
      <c r="JTZ93" s="456" t="s">
        <v>116</v>
      </c>
      <c r="JUA93" s="456" t="s">
        <v>116</v>
      </c>
      <c r="JUB93" s="456" t="s">
        <v>116</v>
      </c>
      <c r="JUC93" s="456" t="s">
        <v>116</v>
      </c>
      <c r="JUD93" s="456" t="s">
        <v>116</v>
      </c>
      <c r="JUE93" s="456" t="s">
        <v>116</v>
      </c>
      <c r="JUF93" s="456" t="s">
        <v>116</v>
      </c>
      <c r="JUG93" s="456" t="s">
        <v>116</v>
      </c>
      <c r="JUH93" s="456" t="s">
        <v>116</v>
      </c>
      <c r="JUI93" s="456" t="s">
        <v>116</v>
      </c>
      <c r="JUJ93" s="456" t="s">
        <v>116</v>
      </c>
      <c r="JUK93" s="456" t="s">
        <v>116</v>
      </c>
      <c r="JUL93" s="456" t="s">
        <v>116</v>
      </c>
      <c r="JUM93" s="456" t="s">
        <v>116</v>
      </c>
      <c r="JUN93" s="456" t="s">
        <v>116</v>
      </c>
      <c r="JUO93" s="456" t="s">
        <v>116</v>
      </c>
      <c r="JUP93" s="456" t="s">
        <v>116</v>
      </c>
      <c r="JUQ93" s="456" t="s">
        <v>116</v>
      </c>
      <c r="JUR93" s="456" t="s">
        <v>116</v>
      </c>
      <c r="JUS93" s="456" t="s">
        <v>116</v>
      </c>
      <c r="JUT93" s="456" t="s">
        <v>116</v>
      </c>
      <c r="JUU93" s="456" t="s">
        <v>116</v>
      </c>
      <c r="JUV93" s="456" t="s">
        <v>116</v>
      </c>
      <c r="JUW93" s="456" t="s">
        <v>116</v>
      </c>
      <c r="JUX93" s="456" t="s">
        <v>116</v>
      </c>
      <c r="JUY93" s="456" t="s">
        <v>116</v>
      </c>
      <c r="JUZ93" s="456" t="s">
        <v>116</v>
      </c>
      <c r="JVA93" s="456" t="s">
        <v>116</v>
      </c>
      <c r="JVB93" s="456" t="s">
        <v>116</v>
      </c>
      <c r="JVC93" s="456" t="s">
        <v>116</v>
      </c>
      <c r="JVD93" s="456" t="s">
        <v>116</v>
      </c>
      <c r="JVE93" s="456" t="s">
        <v>116</v>
      </c>
      <c r="JVF93" s="456" t="s">
        <v>116</v>
      </c>
      <c r="JVG93" s="456" t="s">
        <v>116</v>
      </c>
      <c r="JVH93" s="456" t="s">
        <v>116</v>
      </c>
      <c r="JVI93" s="456" t="s">
        <v>116</v>
      </c>
      <c r="JVJ93" s="456" t="s">
        <v>116</v>
      </c>
      <c r="JVK93" s="456" t="s">
        <v>116</v>
      </c>
      <c r="JVL93" s="456" t="s">
        <v>116</v>
      </c>
      <c r="JVM93" s="456" t="s">
        <v>116</v>
      </c>
      <c r="JVN93" s="456" t="s">
        <v>116</v>
      </c>
      <c r="JVO93" s="456" t="s">
        <v>116</v>
      </c>
      <c r="JVP93" s="456" t="s">
        <v>116</v>
      </c>
      <c r="JVQ93" s="456" t="s">
        <v>116</v>
      </c>
      <c r="JVR93" s="456" t="s">
        <v>116</v>
      </c>
      <c r="JVS93" s="456" t="s">
        <v>116</v>
      </c>
      <c r="JVT93" s="456" t="s">
        <v>116</v>
      </c>
      <c r="JVU93" s="456" t="s">
        <v>116</v>
      </c>
      <c r="JVV93" s="456" t="s">
        <v>116</v>
      </c>
      <c r="JVW93" s="456" t="s">
        <v>116</v>
      </c>
      <c r="JVX93" s="456" t="s">
        <v>116</v>
      </c>
      <c r="JVY93" s="456" t="s">
        <v>116</v>
      </c>
      <c r="JVZ93" s="456" t="s">
        <v>116</v>
      </c>
      <c r="JWA93" s="456" t="s">
        <v>116</v>
      </c>
      <c r="JWB93" s="456" t="s">
        <v>116</v>
      </c>
      <c r="JWC93" s="456" t="s">
        <v>116</v>
      </c>
      <c r="JWD93" s="456" t="s">
        <v>116</v>
      </c>
      <c r="JWE93" s="456" t="s">
        <v>116</v>
      </c>
      <c r="JWF93" s="456" t="s">
        <v>116</v>
      </c>
      <c r="JWG93" s="456" t="s">
        <v>116</v>
      </c>
      <c r="JWH93" s="456" t="s">
        <v>116</v>
      </c>
      <c r="JWI93" s="456" t="s">
        <v>116</v>
      </c>
      <c r="JWJ93" s="456" t="s">
        <v>116</v>
      </c>
      <c r="JWK93" s="456" t="s">
        <v>116</v>
      </c>
      <c r="JWL93" s="456" t="s">
        <v>116</v>
      </c>
      <c r="JWM93" s="456" t="s">
        <v>116</v>
      </c>
      <c r="JWN93" s="456" t="s">
        <v>116</v>
      </c>
      <c r="JWO93" s="456" t="s">
        <v>116</v>
      </c>
      <c r="JWP93" s="456" t="s">
        <v>116</v>
      </c>
      <c r="JWQ93" s="456" t="s">
        <v>116</v>
      </c>
      <c r="JWR93" s="456" t="s">
        <v>116</v>
      </c>
      <c r="JWS93" s="456" t="s">
        <v>116</v>
      </c>
      <c r="JWT93" s="456" t="s">
        <v>116</v>
      </c>
      <c r="JWU93" s="456" t="s">
        <v>116</v>
      </c>
      <c r="JWV93" s="456" t="s">
        <v>116</v>
      </c>
      <c r="JWW93" s="456" t="s">
        <v>116</v>
      </c>
      <c r="JWX93" s="456" t="s">
        <v>116</v>
      </c>
      <c r="JWY93" s="456" t="s">
        <v>116</v>
      </c>
      <c r="JWZ93" s="456" t="s">
        <v>116</v>
      </c>
      <c r="JXA93" s="456" t="s">
        <v>116</v>
      </c>
      <c r="JXB93" s="456" t="s">
        <v>116</v>
      </c>
      <c r="JXC93" s="456" t="s">
        <v>116</v>
      </c>
      <c r="JXD93" s="456" t="s">
        <v>116</v>
      </c>
      <c r="JXE93" s="456" t="s">
        <v>116</v>
      </c>
      <c r="JXF93" s="456" t="s">
        <v>116</v>
      </c>
      <c r="JXG93" s="456" t="s">
        <v>116</v>
      </c>
      <c r="JXH93" s="456" t="s">
        <v>116</v>
      </c>
      <c r="JXI93" s="456" t="s">
        <v>116</v>
      </c>
      <c r="JXJ93" s="456" t="s">
        <v>116</v>
      </c>
      <c r="JXK93" s="456" t="s">
        <v>116</v>
      </c>
      <c r="JXL93" s="456" t="s">
        <v>116</v>
      </c>
      <c r="JXM93" s="456" t="s">
        <v>116</v>
      </c>
      <c r="JXN93" s="456" t="s">
        <v>116</v>
      </c>
      <c r="JXO93" s="456" t="s">
        <v>116</v>
      </c>
      <c r="JXP93" s="456" t="s">
        <v>116</v>
      </c>
      <c r="JXQ93" s="456" t="s">
        <v>116</v>
      </c>
      <c r="JXR93" s="456" t="s">
        <v>116</v>
      </c>
      <c r="JXS93" s="456" t="s">
        <v>116</v>
      </c>
      <c r="JXT93" s="456" t="s">
        <v>116</v>
      </c>
      <c r="JXU93" s="456" t="s">
        <v>116</v>
      </c>
      <c r="JXV93" s="456" t="s">
        <v>116</v>
      </c>
      <c r="JXW93" s="456" t="s">
        <v>116</v>
      </c>
      <c r="JXX93" s="456" t="s">
        <v>116</v>
      </c>
      <c r="JXY93" s="456" t="s">
        <v>116</v>
      </c>
      <c r="JXZ93" s="456" t="s">
        <v>116</v>
      </c>
      <c r="JYA93" s="456" t="s">
        <v>116</v>
      </c>
      <c r="JYB93" s="456" t="s">
        <v>116</v>
      </c>
      <c r="JYC93" s="456" t="s">
        <v>116</v>
      </c>
      <c r="JYD93" s="456" t="s">
        <v>116</v>
      </c>
      <c r="JYE93" s="456" t="s">
        <v>116</v>
      </c>
      <c r="JYF93" s="456" t="s">
        <v>116</v>
      </c>
      <c r="JYG93" s="456" t="s">
        <v>116</v>
      </c>
      <c r="JYH93" s="456" t="s">
        <v>116</v>
      </c>
      <c r="JYI93" s="456" t="s">
        <v>116</v>
      </c>
      <c r="JYJ93" s="456" t="s">
        <v>116</v>
      </c>
      <c r="JYK93" s="456" t="s">
        <v>116</v>
      </c>
      <c r="JYL93" s="456" t="s">
        <v>116</v>
      </c>
      <c r="JYM93" s="456" t="s">
        <v>116</v>
      </c>
      <c r="JYN93" s="456" t="s">
        <v>116</v>
      </c>
      <c r="JYO93" s="456" t="s">
        <v>116</v>
      </c>
      <c r="JYP93" s="456" t="s">
        <v>116</v>
      </c>
      <c r="JYQ93" s="456" t="s">
        <v>116</v>
      </c>
      <c r="JYR93" s="456" t="s">
        <v>116</v>
      </c>
      <c r="JYS93" s="456" t="s">
        <v>116</v>
      </c>
      <c r="JYT93" s="456" t="s">
        <v>116</v>
      </c>
      <c r="JYU93" s="456" t="s">
        <v>116</v>
      </c>
      <c r="JYV93" s="456" t="s">
        <v>116</v>
      </c>
      <c r="JYW93" s="456" t="s">
        <v>116</v>
      </c>
      <c r="JYX93" s="456" t="s">
        <v>116</v>
      </c>
      <c r="JYY93" s="456" t="s">
        <v>116</v>
      </c>
      <c r="JYZ93" s="456" t="s">
        <v>116</v>
      </c>
      <c r="JZA93" s="456" t="s">
        <v>116</v>
      </c>
      <c r="JZB93" s="456" t="s">
        <v>116</v>
      </c>
      <c r="JZC93" s="456" t="s">
        <v>116</v>
      </c>
      <c r="JZD93" s="456" t="s">
        <v>116</v>
      </c>
      <c r="JZE93" s="456" t="s">
        <v>116</v>
      </c>
      <c r="JZF93" s="456" t="s">
        <v>116</v>
      </c>
      <c r="JZG93" s="456" t="s">
        <v>116</v>
      </c>
      <c r="JZH93" s="456" t="s">
        <v>116</v>
      </c>
      <c r="JZI93" s="456" t="s">
        <v>116</v>
      </c>
      <c r="JZJ93" s="456" t="s">
        <v>116</v>
      </c>
      <c r="JZK93" s="456" t="s">
        <v>116</v>
      </c>
      <c r="JZL93" s="456" t="s">
        <v>116</v>
      </c>
      <c r="JZM93" s="456" t="s">
        <v>116</v>
      </c>
      <c r="JZN93" s="456" t="s">
        <v>116</v>
      </c>
      <c r="JZO93" s="456" t="s">
        <v>116</v>
      </c>
      <c r="JZP93" s="456" t="s">
        <v>116</v>
      </c>
      <c r="JZQ93" s="456" t="s">
        <v>116</v>
      </c>
      <c r="JZR93" s="456" t="s">
        <v>116</v>
      </c>
      <c r="JZS93" s="456" t="s">
        <v>116</v>
      </c>
      <c r="JZT93" s="456" t="s">
        <v>116</v>
      </c>
      <c r="JZU93" s="456" t="s">
        <v>116</v>
      </c>
      <c r="JZV93" s="456" t="s">
        <v>116</v>
      </c>
      <c r="JZW93" s="456" t="s">
        <v>116</v>
      </c>
      <c r="JZX93" s="456" t="s">
        <v>116</v>
      </c>
      <c r="JZY93" s="456" t="s">
        <v>116</v>
      </c>
      <c r="JZZ93" s="456" t="s">
        <v>116</v>
      </c>
      <c r="KAA93" s="456" t="s">
        <v>116</v>
      </c>
      <c r="KAB93" s="456" t="s">
        <v>116</v>
      </c>
      <c r="KAC93" s="456" t="s">
        <v>116</v>
      </c>
      <c r="KAD93" s="456" t="s">
        <v>116</v>
      </c>
      <c r="KAE93" s="456" t="s">
        <v>116</v>
      </c>
      <c r="KAF93" s="456" t="s">
        <v>116</v>
      </c>
      <c r="KAG93" s="456" t="s">
        <v>116</v>
      </c>
      <c r="KAH93" s="456" t="s">
        <v>116</v>
      </c>
      <c r="KAI93" s="456" t="s">
        <v>116</v>
      </c>
      <c r="KAJ93" s="456" t="s">
        <v>116</v>
      </c>
      <c r="KAK93" s="456" t="s">
        <v>116</v>
      </c>
      <c r="KAL93" s="456" t="s">
        <v>116</v>
      </c>
      <c r="KAM93" s="456" t="s">
        <v>116</v>
      </c>
      <c r="KAN93" s="456" t="s">
        <v>116</v>
      </c>
      <c r="KAO93" s="456" t="s">
        <v>116</v>
      </c>
      <c r="KAP93" s="456" t="s">
        <v>116</v>
      </c>
      <c r="KAQ93" s="456" t="s">
        <v>116</v>
      </c>
      <c r="KAR93" s="456" t="s">
        <v>116</v>
      </c>
      <c r="KAS93" s="456" t="s">
        <v>116</v>
      </c>
      <c r="KAT93" s="456" t="s">
        <v>116</v>
      </c>
      <c r="KAU93" s="456" t="s">
        <v>116</v>
      </c>
      <c r="KAV93" s="456" t="s">
        <v>116</v>
      </c>
      <c r="KAW93" s="456" t="s">
        <v>116</v>
      </c>
      <c r="KAX93" s="456" t="s">
        <v>116</v>
      </c>
      <c r="KAY93" s="456" t="s">
        <v>116</v>
      </c>
      <c r="KAZ93" s="456" t="s">
        <v>116</v>
      </c>
      <c r="KBA93" s="456" t="s">
        <v>116</v>
      </c>
      <c r="KBB93" s="456" t="s">
        <v>116</v>
      </c>
      <c r="KBC93" s="456" t="s">
        <v>116</v>
      </c>
      <c r="KBD93" s="456" t="s">
        <v>116</v>
      </c>
      <c r="KBE93" s="456" t="s">
        <v>116</v>
      </c>
      <c r="KBF93" s="456" t="s">
        <v>116</v>
      </c>
      <c r="KBG93" s="456" t="s">
        <v>116</v>
      </c>
      <c r="KBH93" s="456" t="s">
        <v>116</v>
      </c>
      <c r="KBI93" s="456" t="s">
        <v>116</v>
      </c>
      <c r="KBJ93" s="456" t="s">
        <v>116</v>
      </c>
      <c r="KBK93" s="456" t="s">
        <v>116</v>
      </c>
      <c r="KBL93" s="456" t="s">
        <v>116</v>
      </c>
      <c r="KBM93" s="456" t="s">
        <v>116</v>
      </c>
      <c r="KBN93" s="456" t="s">
        <v>116</v>
      </c>
      <c r="KBO93" s="456" t="s">
        <v>116</v>
      </c>
      <c r="KBP93" s="456" t="s">
        <v>116</v>
      </c>
      <c r="KBQ93" s="456" t="s">
        <v>116</v>
      </c>
      <c r="KBR93" s="456" t="s">
        <v>116</v>
      </c>
      <c r="KBS93" s="456" t="s">
        <v>116</v>
      </c>
      <c r="KBT93" s="456" t="s">
        <v>116</v>
      </c>
      <c r="KBU93" s="456" t="s">
        <v>116</v>
      </c>
      <c r="KBV93" s="456" t="s">
        <v>116</v>
      </c>
      <c r="KBW93" s="456" t="s">
        <v>116</v>
      </c>
      <c r="KBX93" s="456" t="s">
        <v>116</v>
      </c>
      <c r="KBY93" s="456" t="s">
        <v>116</v>
      </c>
      <c r="KBZ93" s="456" t="s">
        <v>116</v>
      </c>
      <c r="KCA93" s="456" t="s">
        <v>116</v>
      </c>
      <c r="KCB93" s="456" t="s">
        <v>116</v>
      </c>
      <c r="KCC93" s="456" t="s">
        <v>116</v>
      </c>
      <c r="KCD93" s="456" t="s">
        <v>116</v>
      </c>
      <c r="KCE93" s="456" t="s">
        <v>116</v>
      </c>
      <c r="KCF93" s="456" t="s">
        <v>116</v>
      </c>
      <c r="KCG93" s="456" t="s">
        <v>116</v>
      </c>
      <c r="KCH93" s="456" t="s">
        <v>116</v>
      </c>
      <c r="KCI93" s="456" t="s">
        <v>116</v>
      </c>
      <c r="KCJ93" s="456" t="s">
        <v>116</v>
      </c>
      <c r="KCK93" s="456" t="s">
        <v>116</v>
      </c>
      <c r="KCL93" s="456" t="s">
        <v>116</v>
      </c>
      <c r="KCM93" s="456" t="s">
        <v>116</v>
      </c>
      <c r="KCN93" s="456" t="s">
        <v>116</v>
      </c>
      <c r="KCO93" s="456" t="s">
        <v>116</v>
      </c>
      <c r="KCP93" s="456" t="s">
        <v>116</v>
      </c>
      <c r="KCQ93" s="456" t="s">
        <v>116</v>
      </c>
      <c r="KCR93" s="456" t="s">
        <v>116</v>
      </c>
      <c r="KCS93" s="456" t="s">
        <v>116</v>
      </c>
      <c r="KCT93" s="456" t="s">
        <v>116</v>
      </c>
      <c r="KCU93" s="456" t="s">
        <v>116</v>
      </c>
      <c r="KCV93" s="456" t="s">
        <v>116</v>
      </c>
      <c r="KCW93" s="456" t="s">
        <v>116</v>
      </c>
      <c r="KCX93" s="456" t="s">
        <v>116</v>
      </c>
      <c r="KCY93" s="456" t="s">
        <v>116</v>
      </c>
      <c r="KCZ93" s="456" t="s">
        <v>116</v>
      </c>
      <c r="KDA93" s="456" t="s">
        <v>116</v>
      </c>
      <c r="KDB93" s="456" t="s">
        <v>116</v>
      </c>
      <c r="KDC93" s="456" t="s">
        <v>116</v>
      </c>
      <c r="KDD93" s="456" t="s">
        <v>116</v>
      </c>
      <c r="KDE93" s="456" t="s">
        <v>116</v>
      </c>
      <c r="KDF93" s="456" t="s">
        <v>116</v>
      </c>
      <c r="KDG93" s="456" t="s">
        <v>116</v>
      </c>
      <c r="KDH93" s="456" t="s">
        <v>116</v>
      </c>
      <c r="KDI93" s="456" t="s">
        <v>116</v>
      </c>
      <c r="KDJ93" s="456" t="s">
        <v>116</v>
      </c>
      <c r="KDK93" s="456" t="s">
        <v>116</v>
      </c>
      <c r="KDL93" s="456" t="s">
        <v>116</v>
      </c>
      <c r="KDM93" s="456" t="s">
        <v>116</v>
      </c>
      <c r="KDN93" s="456" t="s">
        <v>116</v>
      </c>
      <c r="KDO93" s="456" t="s">
        <v>116</v>
      </c>
      <c r="KDP93" s="456" t="s">
        <v>116</v>
      </c>
      <c r="KDQ93" s="456" t="s">
        <v>116</v>
      </c>
      <c r="KDR93" s="456" t="s">
        <v>116</v>
      </c>
      <c r="KDS93" s="456" t="s">
        <v>116</v>
      </c>
      <c r="KDT93" s="456" t="s">
        <v>116</v>
      </c>
      <c r="KDU93" s="456" t="s">
        <v>116</v>
      </c>
      <c r="KDV93" s="456" t="s">
        <v>116</v>
      </c>
      <c r="KDW93" s="456" t="s">
        <v>116</v>
      </c>
      <c r="KDX93" s="456" t="s">
        <v>116</v>
      </c>
      <c r="KDY93" s="456" t="s">
        <v>116</v>
      </c>
      <c r="KDZ93" s="456" t="s">
        <v>116</v>
      </c>
      <c r="KEA93" s="456" t="s">
        <v>116</v>
      </c>
      <c r="KEB93" s="456" t="s">
        <v>116</v>
      </c>
      <c r="KEC93" s="456" t="s">
        <v>116</v>
      </c>
      <c r="KED93" s="456" t="s">
        <v>116</v>
      </c>
      <c r="KEE93" s="456" t="s">
        <v>116</v>
      </c>
      <c r="KEF93" s="456" t="s">
        <v>116</v>
      </c>
      <c r="KEG93" s="456" t="s">
        <v>116</v>
      </c>
      <c r="KEH93" s="456" t="s">
        <v>116</v>
      </c>
      <c r="KEI93" s="456" t="s">
        <v>116</v>
      </c>
      <c r="KEJ93" s="456" t="s">
        <v>116</v>
      </c>
      <c r="KEK93" s="456" t="s">
        <v>116</v>
      </c>
      <c r="KEL93" s="456" t="s">
        <v>116</v>
      </c>
      <c r="KEM93" s="456" t="s">
        <v>116</v>
      </c>
      <c r="KEN93" s="456" t="s">
        <v>116</v>
      </c>
      <c r="KEO93" s="456" t="s">
        <v>116</v>
      </c>
      <c r="KEP93" s="456" t="s">
        <v>116</v>
      </c>
      <c r="KEQ93" s="456" t="s">
        <v>116</v>
      </c>
      <c r="KER93" s="456" t="s">
        <v>116</v>
      </c>
      <c r="KES93" s="456" t="s">
        <v>116</v>
      </c>
      <c r="KET93" s="456" t="s">
        <v>116</v>
      </c>
      <c r="KEU93" s="456" t="s">
        <v>116</v>
      </c>
      <c r="KEV93" s="456" t="s">
        <v>116</v>
      </c>
      <c r="KEW93" s="456" t="s">
        <v>116</v>
      </c>
      <c r="KEX93" s="456" t="s">
        <v>116</v>
      </c>
      <c r="KEY93" s="456" t="s">
        <v>116</v>
      </c>
      <c r="KEZ93" s="456" t="s">
        <v>116</v>
      </c>
      <c r="KFA93" s="456" t="s">
        <v>116</v>
      </c>
      <c r="KFB93" s="456" t="s">
        <v>116</v>
      </c>
      <c r="KFC93" s="456" t="s">
        <v>116</v>
      </c>
      <c r="KFD93" s="456" t="s">
        <v>116</v>
      </c>
      <c r="KFE93" s="456" t="s">
        <v>116</v>
      </c>
      <c r="KFF93" s="456" t="s">
        <v>116</v>
      </c>
      <c r="KFG93" s="456" t="s">
        <v>116</v>
      </c>
      <c r="KFH93" s="456" t="s">
        <v>116</v>
      </c>
      <c r="KFI93" s="456" t="s">
        <v>116</v>
      </c>
      <c r="KFJ93" s="456" t="s">
        <v>116</v>
      </c>
      <c r="KFK93" s="456" t="s">
        <v>116</v>
      </c>
      <c r="KFL93" s="456" t="s">
        <v>116</v>
      </c>
      <c r="KFM93" s="456" t="s">
        <v>116</v>
      </c>
      <c r="KFN93" s="456" t="s">
        <v>116</v>
      </c>
      <c r="KFO93" s="456" t="s">
        <v>116</v>
      </c>
      <c r="KFP93" s="456" t="s">
        <v>116</v>
      </c>
      <c r="KFQ93" s="456" t="s">
        <v>116</v>
      </c>
      <c r="KFR93" s="456" t="s">
        <v>116</v>
      </c>
      <c r="KFS93" s="456" t="s">
        <v>116</v>
      </c>
      <c r="KFT93" s="456" t="s">
        <v>116</v>
      </c>
      <c r="KFU93" s="456" t="s">
        <v>116</v>
      </c>
      <c r="KFV93" s="456" t="s">
        <v>116</v>
      </c>
      <c r="KFW93" s="456" t="s">
        <v>116</v>
      </c>
      <c r="KFX93" s="456" t="s">
        <v>116</v>
      </c>
      <c r="KFY93" s="456" t="s">
        <v>116</v>
      </c>
      <c r="KFZ93" s="456" t="s">
        <v>116</v>
      </c>
      <c r="KGA93" s="456" t="s">
        <v>116</v>
      </c>
      <c r="KGB93" s="456" t="s">
        <v>116</v>
      </c>
      <c r="KGC93" s="456" t="s">
        <v>116</v>
      </c>
      <c r="KGD93" s="456" t="s">
        <v>116</v>
      </c>
      <c r="KGE93" s="456" t="s">
        <v>116</v>
      </c>
      <c r="KGF93" s="456" t="s">
        <v>116</v>
      </c>
      <c r="KGG93" s="456" t="s">
        <v>116</v>
      </c>
      <c r="KGH93" s="456" t="s">
        <v>116</v>
      </c>
      <c r="KGI93" s="456" t="s">
        <v>116</v>
      </c>
      <c r="KGJ93" s="456" t="s">
        <v>116</v>
      </c>
      <c r="KGK93" s="456" t="s">
        <v>116</v>
      </c>
      <c r="KGL93" s="456" t="s">
        <v>116</v>
      </c>
      <c r="KGM93" s="456" t="s">
        <v>116</v>
      </c>
      <c r="KGN93" s="456" t="s">
        <v>116</v>
      </c>
      <c r="KGO93" s="456" t="s">
        <v>116</v>
      </c>
      <c r="KGP93" s="456" t="s">
        <v>116</v>
      </c>
      <c r="KGQ93" s="456" t="s">
        <v>116</v>
      </c>
      <c r="KGR93" s="456" t="s">
        <v>116</v>
      </c>
      <c r="KGS93" s="456" t="s">
        <v>116</v>
      </c>
      <c r="KGT93" s="456" t="s">
        <v>116</v>
      </c>
      <c r="KGU93" s="456" t="s">
        <v>116</v>
      </c>
      <c r="KGV93" s="456" t="s">
        <v>116</v>
      </c>
      <c r="KGW93" s="456" t="s">
        <v>116</v>
      </c>
      <c r="KGX93" s="456" t="s">
        <v>116</v>
      </c>
      <c r="KGY93" s="456" t="s">
        <v>116</v>
      </c>
      <c r="KGZ93" s="456" t="s">
        <v>116</v>
      </c>
      <c r="KHA93" s="456" t="s">
        <v>116</v>
      </c>
      <c r="KHB93" s="456" t="s">
        <v>116</v>
      </c>
      <c r="KHC93" s="456" t="s">
        <v>116</v>
      </c>
      <c r="KHD93" s="456" t="s">
        <v>116</v>
      </c>
      <c r="KHE93" s="456" t="s">
        <v>116</v>
      </c>
      <c r="KHF93" s="456" t="s">
        <v>116</v>
      </c>
      <c r="KHG93" s="456" t="s">
        <v>116</v>
      </c>
      <c r="KHH93" s="456" t="s">
        <v>116</v>
      </c>
      <c r="KHI93" s="456" t="s">
        <v>116</v>
      </c>
      <c r="KHJ93" s="456" t="s">
        <v>116</v>
      </c>
      <c r="KHK93" s="456" t="s">
        <v>116</v>
      </c>
      <c r="KHL93" s="456" t="s">
        <v>116</v>
      </c>
      <c r="KHM93" s="456" t="s">
        <v>116</v>
      </c>
      <c r="KHN93" s="456" t="s">
        <v>116</v>
      </c>
      <c r="KHO93" s="456" t="s">
        <v>116</v>
      </c>
      <c r="KHP93" s="456" t="s">
        <v>116</v>
      </c>
      <c r="KHQ93" s="456" t="s">
        <v>116</v>
      </c>
      <c r="KHR93" s="456" t="s">
        <v>116</v>
      </c>
      <c r="KHS93" s="456" t="s">
        <v>116</v>
      </c>
      <c r="KHT93" s="456" t="s">
        <v>116</v>
      </c>
      <c r="KHU93" s="456" t="s">
        <v>116</v>
      </c>
      <c r="KHV93" s="456" t="s">
        <v>116</v>
      </c>
      <c r="KHW93" s="456" t="s">
        <v>116</v>
      </c>
      <c r="KHX93" s="456" t="s">
        <v>116</v>
      </c>
      <c r="KHY93" s="456" t="s">
        <v>116</v>
      </c>
      <c r="KHZ93" s="456" t="s">
        <v>116</v>
      </c>
      <c r="KIA93" s="456" t="s">
        <v>116</v>
      </c>
      <c r="KIB93" s="456" t="s">
        <v>116</v>
      </c>
      <c r="KIC93" s="456" t="s">
        <v>116</v>
      </c>
      <c r="KID93" s="456" t="s">
        <v>116</v>
      </c>
      <c r="KIE93" s="456" t="s">
        <v>116</v>
      </c>
      <c r="KIF93" s="456" t="s">
        <v>116</v>
      </c>
      <c r="KIG93" s="456" t="s">
        <v>116</v>
      </c>
      <c r="KIH93" s="456" t="s">
        <v>116</v>
      </c>
      <c r="KII93" s="456" t="s">
        <v>116</v>
      </c>
      <c r="KIJ93" s="456" t="s">
        <v>116</v>
      </c>
      <c r="KIK93" s="456" t="s">
        <v>116</v>
      </c>
      <c r="KIL93" s="456" t="s">
        <v>116</v>
      </c>
      <c r="KIM93" s="456" t="s">
        <v>116</v>
      </c>
      <c r="KIN93" s="456" t="s">
        <v>116</v>
      </c>
      <c r="KIO93" s="456" t="s">
        <v>116</v>
      </c>
      <c r="KIP93" s="456" t="s">
        <v>116</v>
      </c>
      <c r="KIQ93" s="456" t="s">
        <v>116</v>
      </c>
      <c r="KIR93" s="456" t="s">
        <v>116</v>
      </c>
      <c r="KIS93" s="456" t="s">
        <v>116</v>
      </c>
      <c r="KIT93" s="456" t="s">
        <v>116</v>
      </c>
      <c r="KIU93" s="456" t="s">
        <v>116</v>
      </c>
      <c r="KIV93" s="456" t="s">
        <v>116</v>
      </c>
      <c r="KIW93" s="456" t="s">
        <v>116</v>
      </c>
      <c r="KIX93" s="456" t="s">
        <v>116</v>
      </c>
      <c r="KIY93" s="456" t="s">
        <v>116</v>
      </c>
      <c r="KIZ93" s="456" t="s">
        <v>116</v>
      </c>
      <c r="KJA93" s="456" t="s">
        <v>116</v>
      </c>
      <c r="KJB93" s="456" t="s">
        <v>116</v>
      </c>
      <c r="KJC93" s="456" t="s">
        <v>116</v>
      </c>
      <c r="KJD93" s="456" t="s">
        <v>116</v>
      </c>
      <c r="KJE93" s="456" t="s">
        <v>116</v>
      </c>
      <c r="KJF93" s="456" t="s">
        <v>116</v>
      </c>
      <c r="KJG93" s="456" t="s">
        <v>116</v>
      </c>
      <c r="KJH93" s="456" t="s">
        <v>116</v>
      </c>
      <c r="KJI93" s="456" t="s">
        <v>116</v>
      </c>
      <c r="KJJ93" s="456" t="s">
        <v>116</v>
      </c>
      <c r="KJK93" s="456" t="s">
        <v>116</v>
      </c>
      <c r="KJL93" s="456" t="s">
        <v>116</v>
      </c>
      <c r="KJM93" s="456" t="s">
        <v>116</v>
      </c>
      <c r="KJN93" s="456" t="s">
        <v>116</v>
      </c>
      <c r="KJO93" s="456" t="s">
        <v>116</v>
      </c>
      <c r="KJP93" s="456" t="s">
        <v>116</v>
      </c>
      <c r="KJQ93" s="456" t="s">
        <v>116</v>
      </c>
      <c r="KJR93" s="456" t="s">
        <v>116</v>
      </c>
      <c r="KJS93" s="456" t="s">
        <v>116</v>
      </c>
      <c r="KJT93" s="456" t="s">
        <v>116</v>
      </c>
      <c r="KJU93" s="456" t="s">
        <v>116</v>
      </c>
      <c r="KJV93" s="456" t="s">
        <v>116</v>
      </c>
      <c r="KJW93" s="456" t="s">
        <v>116</v>
      </c>
      <c r="KJX93" s="456" t="s">
        <v>116</v>
      </c>
      <c r="KJY93" s="456" t="s">
        <v>116</v>
      </c>
      <c r="KJZ93" s="456" t="s">
        <v>116</v>
      </c>
      <c r="KKA93" s="456" t="s">
        <v>116</v>
      </c>
      <c r="KKB93" s="456" t="s">
        <v>116</v>
      </c>
      <c r="KKC93" s="456" t="s">
        <v>116</v>
      </c>
      <c r="KKD93" s="456" t="s">
        <v>116</v>
      </c>
      <c r="KKE93" s="456" t="s">
        <v>116</v>
      </c>
      <c r="KKF93" s="456" t="s">
        <v>116</v>
      </c>
      <c r="KKG93" s="456" t="s">
        <v>116</v>
      </c>
      <c r="KKH93" s="456" t="s">
        <v>116</v>
      </c>
      <c r="KKI93" s="456" t="s">
        <v>116</v>
      </c>
      <c r="KKJ93" s="456" t="s">
        <v>116</v>
      </c>
      <c r="KKK93" s="456" t="s">
        <v>116</v>
      </c>
      <c r="KKL93" s="456" t="s">
        <v>116</v>
      </c>
      <c r="KKM93" s="456" t="s">
        <v>116</v>
      </c>
      <c r="KKN93" s="456" t="s">
        <v>116</v>
      </c>
      <c r="KKO93" s="456" t="s">
        <v>116</v>
      </c>
      <c r="KKP93" s="456" t="s">
        <v>116</v>
      </c>
      <c r="KKQ93" s="456" t="s">
        <v>116</v>
      </c>
      <c r="KKR93" s="456" t="s">
        <v>116</v>
      </c>
      <c r="KKS93" s="456" t="s">
        <v>116</v>
      </c>
      <c r="KKT93" s="456" t="s">
        <v>116</v>
      </c>
      <c r="KKU93" s="456" t="s">
        <v>116</v>
      </c>
      <c r="KKV93" s="456" t="s">
        <v>116</v>
      </c>
      <c r="KKW93" s="456" t="s">
        <v>116</v>
      </c>
      <c r="KKX93" s="456" t="s">
        <v>116</v>
      </c>
      <c r="KKY93" s="456" t="s">
        <v>116</v>
      </c>
      <c r="KKZ93" s="456" t="s">
        <v>116</v>
      </c>
      <c r="KLA93" s="456" t="s">
        <v>116</v>
      </c>
      <c r="KLB93" s="456" t="s">
        <v>116</v>
      </c>
      <c r="KLC93" s="456" t="s">
        <v>116</v>
      </c>
      <c r="KLD93" s="456" t="s">
        <v>116</v>
      </c>
      <c r="KLE93" s="456" t="s">
        <v>116</v>
      </c>
      <c r="KLF93" s="456" t="s">
        <v>116</v>
      </c>
      <c r="KLG93" s="456" t="s">
        <v>116</v>
      </c>
      <c r="KLH93" s="456" t="s">
        <v>116</v>
      </c>
      <c r="KLI93" s="456" t="s">
        <v>116</v>
      </c>
      <c r="KLJ93" s="456" t="s">
        <v>116</v>
      </c>
      <c r="KLK93" s="456" t="s">
        <v>116</v>
      </c>
      <c r="KLL93" s="456" t="s">
        <v>116</v>
      </c>
      <c r="KLM93" s="456" t="s">
        <v>116</v>
      </c>
      <c r="KLN93" s="456" t="s">
        <v>116</v>
      </c>
      <c r="KLO93" s="456" t="s">
        <v>116</v>
      </c>
      <c r="KLP93" s="456" t="s">
        <v>116</v>
      </c>
      <c r="KLQ93" s="456" t="s">
        <v>116</v>
      </c>
      <c r="KLR93" s="456" t="s">
        <v>116</v>
      </c>
      <c r="KLS93" s="456" t="s">
        <v>116</v>
      </c>
      <c r="KLT93" s="456" t="s">
        <v>116</v>
      </c>
      <c r="KLU93" s="456" t="s">
        <v>116</v>
      </c>
      <c r="KLV93" s="456" t="s">
        <v>116</v>
      </c>
      <c r="KLW93" s="456" t="s">
        <v>116</v>
      </c>
      <c r="KLX93" s="456" t="s">
        <v>116</v>
      </c>
      <c r="KLY93" s="456" t="s">
        <v>116</v>
      </c>
      <c r="KLZ93" s="456" t="s">
        <v>116</v>
      </c>
      <c r="KMA93" s="456" t="s">
        <v>116</v>
      </c>
      <c r="KMB93" s="456" t="s">
        <v>116</v>
      </c>
      <c r="KMC93" s="456" t="s">
        <v>116</v>
      </c>
      <c r="KMD93" s="456" t="s">
        <v>116</v>
      </c>
      <c r="KME93" s="456" t="s">
        <v>116</v>
      </c>
      <c r="KMF93" s="456" t="s">
        <v>116</v>
      </c>
      <c r="KMG93" s="456" t="s">
        <v>116</v>
      </c>
      <c r="KMH93" s="456" t="s">
        <v>116</v>
      </c>
      <c r="KMI93" s="456" t="s">
        <v>116</v>
      </c>
      <c r="KMJ93" s="456" t="s">
        <v>116</v>
      </c>
      <c r="KMK93" s="456" t="s">
        <v>116</v>
      </c>
      <c r="KML93" s="456" t="s">
        <v>116</v>
      </c>
      <c r="KMM93" s="456" t="s">
        <v>116</v>
      </c>
      <c r="KMN93" s="456" t="s">
        <v>116</v>
      </c>
      <c r="KMO93" s="456" t="s">
        <v>116</v>
      </c>
      <c r="KMP93" s="456" t="s">
        <v>116</v>
      </c>
      <c r="KMQ93" s="456" t="s">
        <v>116</v>
      </c>
      <c r="KMR93" s="456" t="s">
        <v>116</v>
      </c>
      <c r="KMS93" s="456" t="s">
        <v>116</v>
      </c>
      <c r="KMT93" s="456" t="s">
        <v>116</v>
      </c>
      <c r="KMU93" s="456" t="s">
        <v>116</v>
      </c>
      <c r="KMV93" s="456" t="s">
        <v>116</v>
      </c>
      <c r="KMW93" s="456" t="s">
        <v>116</v>
      </c>
      <c r="KMX93" s="456" t="s">
        <v>116</v>
      </c>
      <c r="KMY93" s="456" t="s">
        <v>116</v>
      </c>
      <c r="KMZ93" s="456" t="s">
        <v>116</v>
      </c>
      <c r="KNA93" s="456" t="s">
        <v>116</v>
      </c>
      <c r="KNB93" s="456" t="s">
        <v>116</v>
      </c>
      <c r="KNC93" s="456" t="s">
        <v>116</v>
      </c>
      <c r="KND93" s="456" t="s">
        <v>116</v>
      </c>
      <c r="KNE93" s="456" t="s">
        <v>116</v>
      </c>
      <c r="KNF93" s="456" t="s">
        <v>116</v>
      </c>
      <c r="KNG93" s="456" t="s">
        <v>116</v>
      </c>
      <c r="KNH93" s="456" t="s">
        <v>116</v>
      </c>
      <c r="KNI93" s="456" t="s">
        <v>116</v>
      </c>
      <c r="KNJ93" s="456" t="s">
        <v>116</v>
      </c>
      <c r="KNK93" s="456" t="s">
        <v>116</v>
      </c>
      <c r="KNL93" s="456" t="s">
        <v>116</v>
      </c>
      <c r="KNM93" s="456" t="s">
        <v>116</v>
      </c>
      <c r="KNN93" s="456" t="s">
        <v>116</v>
      </c>
      <c r="KNO93" s="456" t="s">
        <v>116</v>
      </c>
      <c r="KNP93" s="456" t="s">
        <v>116</v>
      </c>
      <c r="KNQ93" s="456" t="s">
        <v>116</v>
      </c>
      <c r="KNR93" s="456" t="s">
        <v>116</v>
      </c>
      <c r="KNS93" s="456" t="s">
        <v>116</v>
      </c>
      <c r="KNT93" s="456" t="s">
        <v>116</v>
      </c>
      <c r="KNU93" s="456" t="s">
        <v>116</v>
      </c>
      <c r="KNV93" s="456" t="s">
        <v>116</v>
      </c>
      <c r="KNW93" s="456" t="s">
        <v>116</v>
      </c>
      <c r="KNX93" s="456" t="s">
        <v>116</v>
      </c>
      <c r="KNY93" s="456" t="s">
        <v>116</v>
      </c>
      <c r="KNZ93" s="456" t="s">
        <v>116</v>
      </c>
      <c r="KOA93" s="456" t="s">
        <v>116</v>
      </c>
      <c r="KOB93" s="456" t="s">
        <v>116</v>
      </c>
      <c r="KOC93" s="456" t="s">
        <v>116</v>
      </c>
      <c r="KOD93" s="456" t="s">
        <v>116</v>
      </c>
      <c r="KOE93" s="456" t="s">
        <v>116</v>
      </c>
      <c r="KOF93" s="456" t="s">
        <v>116</v>
      </c>
      <c r="KOG93" s="456" t="s">
        <v>116</v>
      </c>
      <c r="KOH93" s="456" t="s">
        <v>116</v>
      </c>
      <c r="KOI93" s="456" t="s">
        <v>116</v>
      </c>
      <c r="KOJ93" s="456" t="s">
        <v>116</v>
      </c>
      <c r="KOK93" s="456" t="s">
        <v>116</v>
      </c>
      <c r="KOL93" s="456" t="s">
        <v>116</v>
      </c>
      <c r="KOM93" s="456" t="s">
        <v>116</v>
      </c>
      <c r="KON93" s="456" t="s">
        <v>116</v>
      </c>
      <c r="KOO93" s="456" t="s">
        <v>116</v>
      </c>
      <c r="KOP93" s="456" t="s">
        <v>116</v>
      </c>
      <c r="KOQ93" s="456" t="s">
        <v>116</v>
      </c>
      <c r="KOR93" s="456" t="s">
        <v>116</v>
      </c>
      <c r="KOS93" s="456" t="s">
        <v>116</v>
      </c>
      <c r="KOT93" s="456" t="s">
        <v>116</v>
      </c>
      <c r="KOU93" s="456" t="s">
        <v>116</v>
      </c>
      <c r="KOV93" s="456" t="s">
        <v>116</v>
      </c>
      <c r="KOW93" s="456" t="s">
        <v>116</v>
      </c>
      <c r="KOX93" s="456" t="s">
        <v>116</v>
      </c>
      <c r="KOY93" s="456" t="s">
        <v>116</v>
      </c>
      <c r="KOZ93" s="456" t="s">
        <v>116</v>
      </c>
      <c r="KPA93" s="456" t="s">
        <v>116</v>
      </c>
      <c r="KPB93" s="456" t="s">
        <v>116</v>
      </c>
      <c r="KPC93" s="456" t="s">
        <v>116</v>
      </c>
      <c r="KPD93" s="456" t="s">
        <v>116</v>
      </c>
      <c r="KPE93" s="456" t="s">
        <v>116</v>
      </c>
      <c r="KPF93" s="456" t="s">
        <v>116</v>
      </c>
      <c r="KPG93" s="456" t="s">
        <v>116</v>
      </c>
      <c r="KPH93" s="456" t="s">
        <v>116</v>
      </c>
      <c r="KPI93" s="456" t="s">
        <v>116</v>
      </c>
      <c r="KPJ93" s="456" t="s">
        <v>116</v>
      </c>
      <c r="KPK93" s="456" t="s">
        <v>116</v>
      </c>
      <c r="KPL93" s="456" t="s">
        <v>116</v>
      </c>
      <c r="KPM93" s="456" t="s">
        <v>116</v>
      </c>
      <c r="KPN93" s="456" t="s">
        <v>116</v>
      </c>
      <c r="KPO93" s="456" t="s">
        <v>116</v>
      </c>
      <c r="KPP93" s="456" t="s">
        <v>116</v>
      </c>
      <c r="KPQ93" s="456" t="s">
        <v>116</v>
      </c>
      <c r="KPR93" s="456" t="s">
        <v>116</v>
      </c>
      <c r="KPS93" s="456" t="s">
        <v>116</v>
      </c>
      <c r="KPT93" s="456" t="s">
        <v>116</v>
      </c>
      <c r="KPU93" s="456" t="s">
        <v>116</v>
      </c>
      <c r="KPV93" s="456" t="s">
        <v>116</v>
      </c>
      <c r="KPW93" s="456" t="s">
        <v>116</v>
      </c>
      <c r="KPX93" s="456" t="s">
        <v>116</v>
      </c>
      <c r="KPY93" s="456" t="s">
        <v>116</v>
      </c>
      <c r="KPZ93" s="456" t="s">
        <v>116</v>
      </c>
      <c r="KQA93" s="456" t="s">
        <v>116</v>
      </c>
      <c r="KQB93" s="456" t="s">
        <v>116</v>
      </c>
      <c r="KQC93" s="456" t="s">
        <v>116</v>
      </c>
      <c r="KQD93" s="456" t="s">
        <v>116</v>
      </c>
      <c r="KQE93" s="456" t="s">
        <v>116</v>
      </c>
      <c r="KQF93" s="456" t="s">
        <v>116</v>
      </c>
      <c r="KQG93" s="456" t="s">
        <v>116</v>
      </c>
      <c r="KQH93" s="456" t="s">
        <v>116</v>
      </c>
      <c r="KQI93" s="456" t="s">
        <v>116</v>
      </c>
      <c r="KQJ93" s="456" t="s">
        <v>116</v>
      </c>
      <c r="KQK93" s="456" t="s">
        <v>116</v>
      </c>
      <c r="KQL93" s="456" t="s">
        <v>116</v>
      </c>
      <c r="KQM93" s="456" t="s">
        <v>116</v>
      </c>
      <c r="KQN93" s="456" t="s">
        <v>116</v>
      </c>
      <c r="KQO93" s="456" t="s">
        <v>116</v>
      </c>
      <c r="KQP93" s="456" t="s">
        <v>116</v>
      </c>
      <c r="KQQ93" s="456" t="s">
        <v>116</v>
      </c>
      <c r="KQR93" s="456" t="s">
        <v>116</v>
      </c>
      <c r="KQS93" s="456" t="s">
        <v>116</v>
      </c>
      <c r="KQT93" s="456" t="s">
        <v>116</v>
      </c>
      <c r="KQU93" s="456" t="s">
        <v>116</v>
      </c>
      <c r="KQV93" s="456" t="s">
        <v>116</v>
      </c>
      <c r="KQW93" s="456" t="s">
        <v>116</v>
      </c>
      <c r="KQX93" s="456" t="s">
        <v>116</v>
      </c>
      <c r="KQY93" s="456" t="s">
        <v>116</v>
      </c>
      <c r="KQZ93" s="456" t="s">
        <v>116</v>
      </c>
      <c r="KRA93" s="456" t="s">
        <v>116</v>
      </c>
      <c r="KRB93" s="456" t="s">
        <v>116</v>
      </c>
      <c r="KRC93" s="456" t="s">
        <v>116</v>
      </c>
      <c r="KRD93" s="456" t="s">
        <v>116</v>
      </c>
      <c r="KRE93" s="456" t="s">
        <v>116</v>
      </c>
      <c r="KRF93" s="456" t="s">
        <v>116</v>
      </c>
      <c r="KRG93" s="456" t="s">
        <v>116</v>
      </c>
      <c r="KRH93" s="456" t="s">
        <v>116</v>
      </c>
      <c r="KRI93" s="456" t="s">
        <v>116</v>
      </c>
      <c r="KRJ93" s="456" t="s">
        <v>116</v>
      </c>
      <c r="KRK93" s="456" t="s">
        <v>116</v>
      </c>
      <c r="KRL93" s="456" t="s">
        <v>116</v>
      </c>
      <c r="KRM93" s="456" t="s">
        <v>116</v>
      </c>
      <c r="KRN93" s="456" t="s">
        <v>116</v>
      </c>
      <c r="KRO93" s="456" t="s">
        <v>116</v>
      </c>
      <c r="KRP93" s="456" t="s">
        <v>116</v>
      </c>
      <c r="KRQ93" s="456" t="s">
        <v>116</v>
      </c>
      <c r="KRR93" s="456" t="s">
        <v>116</v>
      </c>
      <c r="KRS93" s="456" t="s">
        <v>116</v>
      </c>
      <c r="KRT93" s="456" t="s">
        <v>116</v>
      </c>
      <c r="KRU93" s="456" t="s">
        <v>116</v>
      </c>
      <c r="KRV93" s="456" t="s">
        <v>116</v>
      </c>
      <c r="KRW93" s="456" t="s">
        <v>116</v>
      </c>
      <c r="KRX93" s="456" t="s">
        <v>116</v>
      </c>
      <c r="KRY93" s="456" t="s">
        <v>116</v>
      </c>
      <c r="KRZ93" s="456" t="s">
        <v>116</v>
      </c>
      <c r="KSA93" s="456" t="s">
        <v>116</v>
      </c>
      <c r="KSB93" s="456" t="s">
        <v>116</v>
      </c>
      <c r="KSC93" s="456" t="s">
        <v>116</v>
      </c>
      <c r="KSD93" s="456" t="s">
        <v>116</v>
      </c>
      <c r="KSE93" s="456" t="s">
        <v>116</v>
      </c>
      <c r="KSF93" s="456" t="s">
        <v>116</v>
      </c>
      <c r="KSG93" s="456" t="s">
        <v>116</v>
      </c>
      <c r="KSH93" s="456" t="s">
        <v>116</v>
      </c>
      <c r="KSI93" s="456" t="s">
        <v>116</v>
      </c>
      <c r="KSJ93" s="456" t="s">
        <v>116</v>
      </c>
      <c r="KSK93" s="456" t="s">
        <v>116</v>
      </c>
      <c r="KSL93" s="456" t="s">
        <v>116</v>
      </c>
      <c r="KSM93" s="456" t="s">
        <v>116</v>
      </c>
      <c r="KSN93" s="456" t="s">
        <v>116</v>
      </c>
      <c r="KSO93" s="456" t="s">
        <v>116</v>
      </c>
      <c r="KSP93" s="456" t="s">
        <v>116</v>
      </c>
      <c r="KSQ93" s="456" t="s">
        <v>116</v>
      </c>
      <c r="KSR93" s="456" t="s">
        <v>116</v>
      </c>
      <c r="KSS93" s="456" t="s">
        <v>116</v>
      </c>
      <c r="KST93" s="456" t="s">
        <v>116</v>
      </c>
      <c r="KSU93" s="456" t="s">
        <v>116</v>
      </c>
      <c r="KSV93" s="456" t="s">
        <v>116</v>
      </c>
      <c r="KSW93" s="456" t="s">
        <v>116</v>
      </c>
      <c r="KSX93" s="456" t="s">
        <v>116</v>
      </c>
      <c r="KSY93" s="456" t="s">
        <v>116</v>
      </c>
      <c r="KSZ93" s="456" t="s">
        <v>116</v>
      </c>
      <c r="KTA93" s="456" t="s">
        <v>116</v>
      </c>
      <c r="KTB93" s="456" t="s">
        <v>116</v>
      </c>
      <c r="KTC93" s="456" t="s">
        <v>116</v>
      </c>
      <c r="KTD93" s="456" t="s">
        <v>116</v>
      </c>
      <c r="KTE93" s="456" t="s">
        <v>116</v>
      </c>
      <c r="KTF93" s="456" t="s">
        <v>116</v>
      </c>
      <c r="KTG93" s="456" t="s">
        <v>116</v>
      </c>
      <c r="KTH93" s="456" t="s">
        <v>116</v>
      </c>
      <c r="KTI93" s="456" t="s">
        <v>116</v>
      </c>
      <c r="KTJ93" s="456" t="s">
        <v>116</v>
      </c>
      <c r="KTK93" s="456" t="s">
        <v>116</v>
      </c>
      <c r="KTL93" s="456" t="s">
        <v>116</v>
      </c>
      <c r="KTM93" s="456" t="s">
        <v>116</v>
      </c>
      <c r="KTN93" s="456" t="s">
        <v>116</v>
      </c>
      <c r="KTO93" s="456" t="s">
        <v>116</v>
      </c>
      <c r="KTP93" s="456" t="s">
        <v>116</v>
      </c>
      <c r="KTQ93" s="456" t="s">
        <v>116</v>
      </c>
      <c r="KTR93" s="456" t="s">
        <v>116</v>
      </c>
      <c r="KTS93" s="456" t="s">
        <v>116</v>
      </c>
      <c r="KTT93" s="456" t="s">
        <v>116</v>
      </c>
      <c r="KTU93" s="456" t="s">
        <v>116</v>
      </c>
      <c r="KTV93" s="456" t="s">
        <v>116</v>
      </c>
      <c r="KTW93" s="456" t="s">
        <v>116</v>
      </c>
      <c r="KTX93" s="456" t="s">
        <v>116</v>
      </c>
      <c r="KTY93" s="456" t="s">
        <v>116</v>
      </c>
      <c r="KTZ93" s="456" t="s">
        <v>116</v>
      </c>
      <c r="KUA93" s="456" t="s">
        <v>116</v>
      </c>
      <c r="KUB93" s="456" t="s">
        <v>116</v>
      </c>
      <c r="KUC93" s="456" t="s">
        <v>116</v>
      </c>
      <c r="KUD93" s="456" t="s">
        <v>116</v>
      </c>
      <c r="KUE93" s="456" t="s">
        <v>116</v>
      </c>
      <c r="KUF93" s="456" t="s">
        <v>116</v>
      </c>
      <c r="KUG93" s="456" t="s">
        <v>116</v>
      </c>
      <c r="KUH93" s="456" t="s">
        <v>116</v>
      </c>
      <c r="KUI93" s="456" t="s">
        <v>116</v>
      </c>
      <c r="KUJ93" s="456" t="s">
        <v>116</v>
      </c>
      <c r="KUK93" s="456" t="s">
        <v>116</v>
      </c>
      <c r="KUL93" s="456" t="s">
        <v>116</v>
      </c>
      <c r="KUM93" s="456" t="s">
        <v>116</v>
      </c>
      <c r="KUN93" s="456" t="s">
        <v>116</v>
      </c>
      <c r="KUO93" s="456" t="s">
        <v>116</v>
      </c>
      <c r="KUP93" s="456" t="s">
        <v>116</v>
      </c>
      <c r="KUQ93" s="456" t="s">
        <v>116</v>
      </c>
      <c r="KUR93" s="456" t="s">
        <v>116</v>
      </c>
      <c r="KUS93" s="456" t="s">
        <v>116</v>
      </c>
      <c r="KUT93" s="456" t="s">
        <v>116</v>
      </c>
      <c r="KUU93" s="456" t="s">
        <v>116</v>
      </c>
      <c r="KUV93" s="456" t="s">
        <v>116</v>
      </c>
      <c r="KUW93" s="456" t="s">
        <v>116</v>
      </c>
      <c r="KUX93" s="456" t="s">
        <v>116</v>
      </c>
      <c r="KUY93" s="456" t="s">
        <v>116</v>
      </c>
      <c r="KUZ93" s="456" t="s">
        <v>116</v>
      </c>
      <c r="KVA93" s="456" t="s">
        <v>116</v>
      </c>
      <c r="KVB93" s="456" t="s">
        <v>116</v>
      </c>
      <c r="KVC93" s="456" t="s">
        <v>116</v>
      </c>
      <c r="KVD93" s="456" t="s">
        <v>116</v>
      </c>
      <c r="KVE93" s="456" t="s">
        <v>116</v>
      </c>
      <c r="KVF93" s="456" t="s">
        <v>116</v>
      </c>
      <c r="KVG93" s="456" t="s">
        <v>116</v>
      </c>
      <c r="KVH93" s="456" t="s">
        <v>116</v>
      </c>
      <c r="KVI93" s="456" t="s">
        <v>116</v>
      </c>
      <c r="KVJ93" s="456" t="s">
        <v>116</v>
      </c>
      <c r="KVK93" s="456" t="s">
        <v>116</v>
      </c>
      <c r="KVL93" s="456" t="s">
        <v>116</v>
      </c>
      <c r="KVM93" s="456" t="s">
        <v>116</v>
      </c>
      <c r="KVN93" s="456" t="s">
        <v>116</v>
      </c>
      <c r="KVO93" s="456" t="s">
        <v>116</v>
      </c>
      <c r="KVP93" s="456" t="s">
        <v>116</v>
      </c>
      <c r="KVQ93" s="456" t="s">
        <v>116</v>
      </c>
      <c r="KVR93" s="456" t="s">
        <v>116</v>
      </c>
      <c r="KVS93" s="456" t="s">
        <v>116</v>
      </c>
      <c r="KVT93" s="456" t="s">
        <v>116</v>
      </c>
      <c r="KVU93" s="456" t="s">
        <v>116</v>
      </c>
      <c r="KVV93" s="456" t="s">
        <v>116</v>
      </c>
      <c r="KVW93" s="456" t="s">
        <v>116</v>
      </c>
      <c r="KVX93" s="456" t="s">
        <v>116</v>
      </c>
      <c r="KVY93" s="456" t="s">
        <v>116</v>
      </c>
      <c r="KVZ93" s="456" t="s">
        <v>116</v>
      </c>
      <c r="KWA93" s="456" t="s">
        <v>116</v>
      </c>
      <c r="KWB93" s="456" t="s">
        <v>116</v>
      </c>
      <c r="KWC93" s="456" t="s">
        <v>116</v>
      </c>
      <c r="KWD93" s="456" t="s">
        <v>116</v>
      </c>
      <c r="KWE93" s="456" t="s">
        <v>116</v>
      </c>
      <c r="KWF93" s="456" t="s">
        <v>116</v>
      </c>
      <c r="KWG93" s="456" t="s">
        <v>116</v>
      </c>
      <c r="KWH93" s="456" t="s">
        <v>116</v>
      </c>
      <c r="KWI93" s="456" t="s">
        <v>116</v>
      </c>
      <c r="KWJ93" s="456" t="s">
        <v>116</v>
      </c>
      <c r="KWK93" s="456" t="s">
        <v>116</v>
      </c>
      <c r="KWL93" s="456" t="s">
        <v>116</v>
      </c>
      <c r="KWM93" s="456" t="s">
        <v>116</v>
      </c>
      <c r="KWN93" s="456" t="s">
        <v>116</v>
      </c>
      <c r="KWO93" s="456" t="s">
        <v>116</v>
      </c>
      <c r="KWP93" s="456" t="s">
        <v>116</v>
      </c>
      <c r="KWQ93" s="456" t="s">
        <v>116</v>
      </c>
      <c r="KWR93" s="456" t="s">
        <v>116</v>
      </c>
      <c r="KWS93" s="456" t="s">
        <v>116</v>
      </c>
      <c r="KWT93" s="456" t="s">
        <v>116</v>
      </c>
      <c r="KWU93" s="456" t="s">
        <v>116</v>
      </c>
      <c r="KWV93" s="456" t="s">
        <v>116</v>
      </c>
      <c r="KWW93" s="456" t="s">
        <v>116</v>
      </c>
      <c r="KWX93" s="456" t="s">
        <v>116</v>
      </c>
      <c r="KWY93" s="456" t="s">
        <v>116</v>
      </c>
      <c r="KWZ93" s="456" t="s">
        <v>116</v>
      </c>
      <c r="KXA93" s="456" t="s">
        <v>116</v>
      </c>
      <c r="KXB93" s="456" t="s">
        <v>116</v>
      </c>
      <c r="KXC93" s="456" t="s">
        <v>116</v>
      </c>
      <c r="KXD93" s="456" t="s">
        <v>116</v>
      </c>
      <c r="KXE93" s="456" t="s">
        <v>116</v>
      </c>
      <c r="KXF93" s="456" t="s">
        <v>116</v>
      </c>
      <c r="KXG93" s="456" t="s">
        <v>116</v>
      </c>
      <c r="KXH93" s="456" t="s">
        <v>116</v>
      </c>
      <c r="KXI93" s="456" t="s">
        <v>116</v>
      </c>
      <c r="KXJ93" s="456" t="s">
        <v>116</v>
      </c>
      <c r="KXK93" s="456" t="s">
        <v>116</v>
      </c>
      <c r="KXL93" s="456" t="s">
        <v>116</v>
      </c>
      <c r="KXM93" s="456" t="s">
        <v>116</v>
      </c>
      <c r="KXN93" s="456" t="s">
        <v>116</v>
      </c>
      <c r="KXO93" s="456" t="s">
        <v>116</v>
      </c>
      <c r="KXP93" s="456" t="s">
        <v>116</v>
      </c>
      <c r="KXQ93" s="456" t="s">
        <v>116</v>
      </c>
      <c r="KXR93" s="456" t="s">
        <v>116</v>
      </c>
      <c r="KXS93" s="456" t="s">
        <v>116</v>
      </c>
      <c r="KXT93" s="456" t="s">
        <v>116</v>
      </c>
      <c r="KXU93" s="456" t="s">
        <v>116</v>
      </c>
      <c r="KXV93" s="456" t="s">
        <v>116</v>
      </c>
      <c r="KXW93" s="456" t="s">
        <v>116</v>
      </c>
      <c r="KXX93" s="456" t="s">
        <v>116</v>
      </c>
      <c r="KXY93" s="456" t="s">
        <v>116</v>
      </c>
      <c r="KXZ93" s="456" t="s">
        <v>116</v>
      </c>
      <c r="KYA93" s="456" t="s">
        <v>116</v>
      </c>
      <c r="KYB93" s="456" t="s">
        <v>116</v>
      </c>
      <c r="KYC93" s="456" t="s">
        <v>116</v>
      </c>
      <c r="KYD93" s="456" t="s">
        <v>116</v>
      </c>
      <c r="KYE93" s="456" t="s">
        <v>116</v>
      </c>
      <c r="KYF93" s="456" t="s">
        <v>116</v>
      </c>
      <c r="KYG93" s="456" t="s">
        <v>116</v>
      </c>
      <c r="KYH93" s="456" t="s">
        <v>116</v>
      </c>
      <c r="KYI93" s="456" t="s">
        <v>116</v>
      </c>
      <c r="KYJ93" s="456" t="s">
        <v>116</v>
      </c>
      <c r="KYK93" s="456" t="s">
        <v>116</v>
      </c>
      <c r="KYL93" s="456" t="s">
        <v>116</v>
      </c>
      <c r="KYM93" s="456" t="s">
        <v>116</v>
      </c>
      <c r="KYN93" s="456" t="s">
        <v>116</v>
      </c>
      <c r="KYO93" s="456" t="s">
        <v>116</v>
      </c>
      <c r="KYP93" s="456" t="s">
        <v>116</v>
      </c>
      <c r="KYQ93" s="456" t="s">
        <v>116</v>
      </c>
      <c r="KYR93" s="456" t="s">
        <v>116</v>
      </c>
      <c r="KYS93" s="456" t="s">
        <v>116</v>
      </c>
      <c r="KYT93" s="456" t="s">
        <v>116</v>
      </c>
      <c r="KYU93" s="456" t="s">
        <v>116</v>
      </c>
      <c r="KYV93" s="456" t="s">
        <v>116</v>
      </c>
      <c r="KYW93" s="456" t="s">
        <v>116</v>
      </c>
      <c r="KYX93" s="456" t="s">
        <v>116</v>
      </c>
      <c r="KYY93" s="456" t="s">
        <v>116</v>
      </c>
      <c r="KYZ93" s="456" t="s">
        <v>116</v>
      </c>
      <c r="KZA93" s="456" t="s">
        <v>116</v>
      </c>
      <c r="KZB93" s="456" t="s">
        <v>116</v>
      </c>
      <c r="KZC93" s="456" t="s">
        <v>116</v>
      </c>
      <c r="KZD93" s="456" t="s">
        <v>116</v>
      </c>
      <c r="KZE93" s="456" t="s">
        <v>116</v>
      </c>
      <c r="KZF93" s="456" t="s">
        <v>116</v>
      </c>
      <c r="KZG93" s="456" t="s">
        <v>116</v>
      </c>
      <c r="KZH93" s="456" t="s">
        <v>116</v>
      </c>
      <c r="KZI93" s="456" t="s">
        <v>116</v>
      </c>
      <c r="KZJ93" s="456" t="s">
        <v>116</v>
      </c>
      <c r="KZK93" s="456" t="s">
        <v>116</v>
      </c>
      <c r="KZL93" s="456" t="s">
        <v>116</v>
      </c>
      <c r="KZM93" s="456" t="s">
        <v>116</v>
      </c>
      <c r="KZN93" s="456" t="s">
        <v>116</v>
      </c>
      <c r="KZO93" s="456" t="s">
        <v>116</v>
      </c>
      <c r="KZP93" s="456" t="s">
        <v>116</v>
      </c>
      <c r="KZQ93" s="456" t="s">
        <v>116</v>
      </c>
      <c r="KZR93" s="456" t="s">
        <v>116</v>
      </c>
      <c r="KZS93" s="456" t="s">
        <v>116</v>
      </c>
      <c r="KZT93" s="456" t="s">
        <v>116</v>
      </c>
      <c r="KZU93" s="456" t="s">
        <v>116</v>
      </c>
      <c r="KZV93" s="456" t="s">
        <v>116</v>
      </c>
      <c r="KZW93" s="456" t="s">
        <v>116</v>
      </c>
      <c r="KZX93" s="456" t="s">
        <v>116</v>
      </c>
      <c r="KZY93" s="456" t="s">
        <v>116</v>
      </c>
      <c r="KZZ93" s="456" t="s">
        <v>116</v>
      </c>
      <c r="LAA93" s="456" t="s">
        <v>116</v>
      </c>
      <c r="LAB93" s="456" t="s">
        <v>116</v>
      </c>
      <c r="LAC93" s="456" t="s">
        <v>116</v>
      </c>
      <c r="LAD93" s="456" t="s">
        <v>116</v>
      </c>
      <c r="LAE93" s="456" t="s">
        <v>116</v>
      </c>
      <c r="LAF93" s="456" t="s">
        <v>116</v>
      </c>
      <c r="LAG93" s="456" t="s">
        <v>116</v>
      </c>
      <c r="LAH93" s="456" t="s">
        <v>116</v>
      </c>
      <c r="LAI93" s="456" t="s">
        <v>116</v>
      </c>
      <c r="LAJ93" s="456" t="s">
        <v>116</v>
      </c>
      <c r="LAK93" s="456" t="s">
        <v>116</v>
      </c>
      <c r="LAL93" s="456" t="s">
        <v>116</v>
      </c>
      <c r="LAM93" s="456" t="s">
        <v>116</v>
      </c>
      <c r="LAN93" s="456" t="s">
        <v>116</v>
      </c>
      <c r="LAO93" s="456" t="s">
        <v>116</v>
      </c>
      <c r="LAP93" s="456" t="s">
        <v>116</v>
      </c>
      <c r="LAQ93" s="456" t="s">
        <v>116</v>
      </c>
      <c r="LAR93" s="456" t="s">
        <v>116</v>
      </c>
      <c r="LAS93" s="456" t="s">
        <v>116</v>
      </c>
      <c r="LAT93" s="456" t="s">
        <v>116</v>
      </c>
      <c r="LAU93" s="456" t="s">
        <v>116</v>
      </c>
      <c r="LAV93" s="456" t="s">
        <v>116</v>
      </c>
      <c r="LAW93" s="456" t="s">
        <v>116</v>
      </c>
      <c r="LAX93" s="456" t="s">
        <v>116</v>
      </c>
      <c r="LAY93" s="456" t="s">
        <v>116</v>
      </c>
      <c r="LAZ93" s="456" t="s">
        <v>116</v>
      </c>
      <c r="LBA93" s="456" t="s">
        <v>116</v>
      </c>
      <c r="LBB93" s="456" t="s">
        <v>116</v>
      </c>
      <c r="LBC93" s="456" t="s">
        <v>116</v>
      </c>
      <c r="LBD93" s="456" t="s">
        <v>116</v>
      </c>
      <c r="LBE93" s="456" t="s">
        <v>116</v>
      </c>
      <c r="LBF93" s="456" t="s">
        <v>116</v>
      </c>
      <c r="LBG93" s="456" t="s">
        <v>116</v>
      </c>
      <c r="LBH93" s="456" t="s">
        <v>116</v>
      </c>
      <c r="LBI93" s="456" t="s">
        <v>116</v>
      </c>
      <c r="LBJ93" s="456" t="s">
        <v>116</v>
      </c>
      <c r="LBK93" s="456" t="s">
        <v>116</v>
      </c>
      <c r="LBL93" s="456" t="s">
        <v>116</v>
      </c>
      <c r="LBM93" s="456" t="s">
        <v>116</v>
      </c>
      <c r="LBN93" s="456" t="s">
        <v>116</v>
      </c>
      <c r="LBO93" s="456" t="s">
        <v>116</v>
      </c>
      <c r="LBP93" s="456" t="s">
        <v>116</v>
      </c>
      <c r="LBQ93" s="456" t="s">
        <v>116</v>
      </c>
      <c r="LBR93" s="456" t="s">
        <v>116</v>
      </c>
      <c r="LBS93" s="456" t="s">
        <v>116</v>
      </c>
      <c r="LBT93" s="456" t="s">
        <v>116</v>
      </c>
      <c r="LBU93" s="456" t="s">
        <v>116</v>
      </c>
      <c r="LBV93" s="456" t="s">
        <v>116</v>
      </c>
      <c r="LBW93" s="456" t="s">
        <v>116</v>
      </c>
      <c r="LBX93" s="456" t="s">
        <v>116</v>
      </c>
      <c r="LBY93" s="456" t="s">
        <v>116</v>
      </c>
      <c r="LBZ93" s="456" t="s">
        <v>116</v>
      </c>
      <c r="LCA93" s="456" t="s">
        <v>116</v>
      </c>
      <c r="LCB93" s="456" t="s">
        <v>116</v>
      </c>
      <c r="LCC93" s="456" t="s">
        <v>116</v>
      </c>
      <c r="LCD93" s="456" t="s">
        <v>116</v>
      </c>
      <c r="LCE93" s="456" t="s">
        <v>116</v>
      </c>
      <c r="LCF93" s="456" t="s">
        <v>116</v>
      </c>
      <c r="LCG93" s="456" t="s">
        <v>116</v>
      </c>
      <c r="LCH93" s="456" t="s">
        <v>116</v>
      </c>
      <c r="LCI93" s="456" t="s">
        <v>116</v>
      </c>
      <c r="LCJ93" s="456" t="s">
        <v>116</v>
      </c>
      <c r="LCK93" s="456" t="s">
        <v>116</v>
      </c>
      <c r="LCL93" s="456" t="s">
        <v>116</v>
      </c>
      <c r="LCM93" s="456" t="s">
        <v>116</v>
      </c>
      <c r="LCN93" s="456" t="s">
        <v>116</v>
      </c>
      <c r="LCO93" s="456" t="s">
        <v>116</v>
      </c>
      <c r="LCP93" s="456" t="s">
        <v>116</v>
      </c>
      <c r="LCQ93" s="456" t="s">
        <v>116</v>
      </c>
      <c r="LCR93" s="456" t="s">
        <v>116</v>
      </c>
      <c r="LCS93" s="456" t="s">
        <v>116</v>
      </c>
      <c r="LCT93" s="456" t="s">
        <v>116</v>
      </c>
      <c r="LCU93" s="456" t="s">
        <v>116</v>
      </c>
      <c r="LCV93" s="456" t="s">
        <v>116</v>
      </c>
      <c r="LCW93" s="456" t="s">
        <v>116</v>
      </c>
      <c r="LCX93" s="456" t="s">
        <v>116</v>
      </c>
      <c r="LCY93" s="456" t="s">
        <v>116</v>
      </c>
      <c r="LCZ93" s="456" t="s">
        <v>116</v>
      </c>
      <c r="LDA93" s="456" t="s">
        <v>116</v>
      </c>
      <c r="LDB93" s="456" t="s">
        <v>116</v>
      </c>
      <c r="LDC93" s="456" t="s">
        <v>116</v>
      </c>
      <c r="LDD93" s="456" t="s">
        <v>116</v>
      </c>
      <c r="LDE93" s="456" t="s">
        <v>116</v>
      </c>
      <c r="LDF93" s="456" t="s">
        <v>116</v>
      </c>
      <c r="LDG93" s="456" t="s">
        <v>116</v>
      </c>
      <c r="LDH93" s="456" t="s">
        <v>116</v>
      </c>
      <c r="LDI93" s="456" t="s">
        <v>116</v>
      </c>
      <c r="LDJ93" s="456" t="s">
        <v>116</v>
      </c>
      <c r="LDK93" s="456" t="s">
        <v>116</v>
      </c>
      <c r="LDL93" s="456" t="s">
        <v>116</v>
      </c>
      <c r="LDM93" s="456" t="s">
        <v>116</v>
      </c>
      <c r="LDN93" s="456" t="s">
        <v>116</v>
      </c>
      <c r="LDO93" s="456" t="s">
        <v>116</v>
      </c>
      <c r="LDP93" s="456" t="s">
        <v>116</v>
      </c>
      <c r="LDQ93" s="456" t="s">
        <v>116</v>
      </c>
      <c r="LDR93" s="456" t="s">
        <v>116</v>
      </c>
      <c r="LDS93" s="456" t="s">
        <v>116</v>
      </c>
      <c r="LDT93" s="456" t="s">
        <v>116</v>
      </c>
      <c r="LDU93" s="456" t="s">
        <v>116</v>
      </c>
      <c r="LDV93" s="456" t="s">
        <v>116</v>
      </c>
      <c r="LDW93" s="456" t="s">
        <v>116</v>
      </c>
      <c r="LDX93" s="456" t="s">
        <v>116</v>
      </c>
      <c r="LDY93" s="456" t="s">
        <v>116</v>
      </c>
      <c r="LDZ93" s="456" t="s">
        <v>116</v>
      </c>
      <c r="LEA93" s="456" t="s">
        <v>116</v>
      </c>
      <c r="LEB93" s="456" t="s">
        <v>116</v>
      </c>
      <c r="LEC93" s="456" t="s">
        <v>116</v>
      </c>
      <c r="LED93" s="456" t="s">
        <v>116</v>
      </c>
      <c r="LEE93" s="456" t="s">
        <v>116</v>
      </c>
      <c r="LEF93" s="456" t="s">
        <v>116</v>
      </c>
      <c r="LEG93" s="456" t="s">
        <v>116</v>
      </c>
      <c r="LEH93" s="456" t="s">
        <v>116</v>
      </c>
      <c r="LEI93" s="456" t="s">
        <v>116</v>
      </c>
      <c r="LEJ93" s="456" t="s">
        <v>116</v>
      </c>
      <c r="LEK93" s="456" t="s">
        <v>116</v>
      </c>
      <c r="LEL93" s="456" t="s">
        <v>116</v>
      </c>
      <c r="LEM93" s="456" t="s">
        <v>116</v>
      </c>
      <c r="LEN93" s="456" t="s">
        <v>116</v>
      </c>
      <c r="LEO93" s="456" t="s">
        <v>116</v>
      </c>
      <c r="LEP93" s="456" t="s">
        <v>116</v>
      </c>
      <c r="LEQ93" s="456" t="s">
        <v>116</v>
      </c>
      <c r="LER93" s="456" t="s">
        <v>116</v>
      </c>
      <c r="LES93" s="456" t="s">
        <v>116</v>
      </c>
      <c r="LET93" s="456" t="s">
        <v>116</v>
      </c>
      <c r="LEU93" s="456" t="s">
        <v>116</v>
      </c>
      <c r="LEV93" s="456" t="s">
        <v>116</v>
      </c>
      <c r="LEW93" s="456" t="s">
        <v>116</v>
      </c>
      <c r="LEX93" s="456" t="s">
        <v>116</v>
      </c>
      <c r="LEY93" s="456" t="s">
        <v>116</v>
      </c>
      <c r="LEZ93" s="456" t="s">
        <v>116</v>
      </c>
      <c r="LFA93" s="456" t="s">
        <v>116</v>
      </c>
      <c r="LFB93" s="456" t="s">
        <v>116</v>
      </c>
      <c r="LFC93" s="456" t="s">
        <v>116</v>
      </c>
      <c r="LFD93" s="456" t="s">
        <v>116</v>
      </c>
      <c r="LFE93" s="456" t="s">
        <v>116</v>
      </c>
      <c r="LFF93" s="456" t="s">
        <v>116</v>
      </c>
      <c r="LFG93" s="456" t="s">
        <v>116</v>
      </c>
      <c r="LFH93" s="456" t="s">
        <v>116</v>
      </c>
      <c r="LFI93" s="456" t="s">
        <v>116</v>
      </c>
      <c r="LFJ93" s="456" t="s">
        <v>116</v>
      </c>
      <c r="LFK93" s="456" t="s">
        <v>116</v>
      </c>
      <c r="LFL93" s="456" t="s">
        <v>116</v>
      </c>
      <c r="LFM93" s="456" t="s">
        <v>116</v>
      </c>
      <c r="LFN93" s="456" t="s">
        <v>116</v>
      </c>
      <c r="LFO93" s="456" t="s">
        <v>116</v>
      </c>
      <c r="LFP93" s="456" t="s">
        <v>116</v>
      </c>
      <c r="LFQ93" s="456" t="s">
        <v>116</v>
      </c>
      <c r="LFR93" s="456" t="s">
        <v>116</v>
      </c>
      <c r="LFS93" s="456" t="s">
        <v>116</v>
      </c>
      <c r="LFT93" s="456" t="s">
        <v>116</v>
      </c>
      <c r="LFU93" s="456" t="s">
        <v>116</v>
      </c>
      <c r="LFV93" s="456" t="s">
        <v>116</v>
      </c>
      <c r="LFW93" s="456" t="s">
        <v>116</v>
      </c>
      <c r="LFX93" s="456" t="s">
        <v>116</v>
      </c>
      <c r="LFY93" s="456" t="s">
        <v>116</v>
      </c>
      <c r="LFZ93" s="456" t="s">
        <v>116</v>
      </c>
      <c r="LGA93" s="456" t="s">
        <v>116</v>
      </c>
      <c r="LGB93" s="456" t="s">
        <v>116</v>
      </c>
      <c r="LGC93" s="456" t="s">
        <v>116</v>
      </c>
      <c r="LGD93" s="456" t="s">
        <v>116</v>
      </c>
      <c r="LGE93" s="456" t="s">
        <v>116</v>
      </c>
      <c r="LGF93" s="456" t="s">
        <v>116</v>
      </c>
      <c r="LGG93" s="456" t="s">
        <v>116</v>
      </c>
      <c r="LGH93" s="456" t="s">
        <v>116</v>
      </c>
      <c r="LGI93" s="456" t="s">
        <v>116</v>
      </c>
      <c r="LGJ93" s="456" t="s">
        <v>116</v>
      </c>
      <c r="LGK93" s="456" t="s">
        <v>116</v>
      </c>
      <c r="LGL93" s="456" t="s">
        <v>116</v>
      </c>
      <c r="LGM93" s="456" t="s">
        <v>116</v>
      </c>
      <c r="LGN93" s="456" t="s">
        <v>116</v>
      </c>
      <c r="LGO93" s="456" t="s">
        <v>116</v>
      </c>
      <c r="LGP93" s="456" t="s">
        <v>116</v>
      </c>
      <c r="LGQ93" s="456" t="s">
        <v>116</v>
      </c>
      <c r="LGR93" s="456" t="s">
        <v>116</v>
      </c>
      <c r="LGS93" s="456" t="s">
        <v>116</v>
      </c>
      <c r="LGT93" s="456" t="s">
        <v>116</v>
      </c>
      <c r="LGU93" s="456" t="s">
        <v>116</v>
      </c>
      <c r="LGV93" s="456" t="s">
        <v>116</v>
      </c>
      <c r="LGW93" s="456" t="s">
        <v>116</v>
      </c>
      <c r="LGX93" s="456" t="s">
        <v>116</v>
      </c>
      <c r="LGY93" s="456" t="s">
        <v>116</v>
      </c>
      <c r="LGZ93" s="456" t="s">
        <v>116</v>
      </c>
      <c r="LHA93" s="456" t="s">
        <v>116</v>
      </c>
      <c r="LHB93" s="456" t="s">
        <v>116</v>
      </c>
      <c r="LHC93" s="456" t="s">
        <v>116</v>
      </c>
      <c r="LHD93" s="456" t="s">
        <v>116</v>
      </c>
      <c r="LHE93" s="456" t="s">
        <v>116</v>
      </c>
      <c r="LHF93" s="456" t="s">
        <v>116</v>
      </c>
      <c r="LHG93" s="456" t="s">
        <v>116</v>
      </c>
      <c r="LHH93" s="456" t="s">
        <v>116</v>
      </c>
      <c r="LHI93" s="456" t="s">
        <v>116</v>
      </c>
      <c r="LHJ93" s="456" t="s">
        <v>116</v>
      </c>
      <c r="LHK93" s="456" t="s">
        <v>116</v>
      </c>
      <c r="LHL93" s="456" t="s">
        <v>116</v>
      </c>
      <c r="LHM93" s="456" t="s">
        <v>116</v>
      </c>
      <c r="LHN93" s="456" t="s">
        <v>116</v>
      </c>
      <c r="LHO93" s="456" t="s">
        <v>116</v>
      </c>
      <c r="LHP93" s="456" t="s">
        <v>116</v>
      </c>
      <c r="LHQ93" s="456" t="s">
        <v>116</v>
      </c>
      <c r="LHR93" s="456" t="s">
        <v>116</v>
      </c>
      <c r="LHS93" s="456" t="s">
        <v>116</v>
      </c>
      <c r="LHT93" s="456" t="s">
        <v>116</v>
      </c>
      <c r="LHU93" s="456" t="s">
        <v>116</v>
      </c>
      <c r="LHV93" s="456" t="s">
        <v>116</v>
      </c>
      <c r="LHW93" s="456" t="s">
        <v>116</v>
      </c>
      <c r="LHX93" s="456" t="s">
        <v>116</v>
      </c>
      <c r="LHY93" s="456" t="s">
        <v>116</v>
      </c>
      <c r="LHZ93" s="456" t="s">
        <v>116</v>
      </c>
      <c r="LIA93" s="456" t="s">
        <v>116</v>
      </c>
      <c r="LIB93" s="456" t="s">
        <v>116</v>
      </c>
      <c r="LIC93" s="456" t="s">
        <v>116</v>
      </c>
      <c r="LID93" s="456" t="s">
        <v>116</v>
      </c>
      <c r="LIE93" s="456" t="s">
        <v>116</v>
      </c>
      <c r="LIF93" s="456" t="s">
        <v>116</v>
      </c>
      <c r="LIG93" s="456" t="s">
        <v>116</v>
      </c>
      <c r="LIH93" s="456" t="s">
        <v>116</v>
      </c>
      <c r="LII93" s="456" t="s">
        <v>116</v>
      </c>
      <c r="LIJ93" s="456" t="s">
        <v>116</v>
      </c>
      <c r="LIK93" s="456" t="s">
        <v>116</v>
      </c>
      <c r="LIL93" s="456" t="s">
        <v>116</v>
      </c>
      <c r="LIM93" s="456" t="s">
        <v>116</v>
      </c>
      <c r="LIN93" s="456" t="s">
        <v>116</v>
      </c>
      <c r="LIO93" s="456" t="s">
        <v>116</v>
      </c>
      <c r="LIP93" s="456" t="s">
        <v>116</v>
      </c>
      <c r="LIQ93" s="456" t="s">
        <v>116</v>
      </c>
      <c r="LIR93" s="456" t="s">
        <v>116</v>
      </c>
      <c r="LIS93" s="456" t="s">
        <v>116</v>
      </c>
      <c r="LIT93" s="456" t="s">
        <v>116</v>
      </c>
      <c r="LIU93" s="456" t="s">
        <v>116</v>
      </c>
      <c r="LIV93" s="456" t="s">
        <v>116</v>
      </c>
      <c r="LIW93" s="456" t="s">
        <v>116</v>
      </c>
      <c r="LIX93" s="456" t="s">
        <v>116</v>
      </c>
      <c r="LIY93" s="456" t="s">
        <v>116</v>
      </c>
      <c r="LIZ93" s="456" t="s">
        <v>116</v>
      </c>
      <c r="LJA93" s="456" t="s">
        <v>116</v>
      </c>
      <c r="LJB93" s="456" t="s">
        <v>116</v>
      </c>
      <c r="LJC93" s="456" t="s">
        <v>116</v>
      </c>
      <c r="LJD93" s="456" t="s">
        <v>116</v>
      </c>
      <c r="LJE93" s="456" t="s">
        <v>116</v>
      </c>
      <c r="LJF93" s="456" t="s">
        <v>116</v>
      </c>
      <c r="LJG93" s="456" t="s">
        <v>116</v>
      </c>
      <c r="LJH93" s="456" t="s">
        <v>116</v>
      </c>
      <c r="LJI93" s="456" t="s">
        <v>116</v>
      </c>
      <c r="LJJ93" s="456" t="s">
        <v>116</v>
      </c>
      <c r="LJK93" s="456" t="s">
        <v>116</v>
      </c>
      <c r="LJL93" s="456" t="s">
        <v>116</v>
      </c>
      <c r="LJM93" s="456" t="s">
        <v>116</v>
      </c>
      <c r="LJN93" s="456" t="s">
        <v>116</v>
      </c>
      <c r="LJO93" s="456" t="s">
        <v>116</v>
      </c>
      <c r="LJP93" s="456" t="s">
        <v>116</v>
      </c>
      <c r="LJQ93" s="456" t="s">
        <v>116</v>
      </c>
      <c r="LJR93" s="456" t="s">
        <v>116</v>
      </c>
      <c r="LJS93" s="456" t="s">
        <v>116</v>
      </c>
      <c r="LJT93" s="456" t="s">
        <v>116</v>
      </c>
      <c r="LJU93" s="456" t="s">
        <v>116</v>
      </c>
      <c r="LJV93" s="456" t="s">
        <v>116</v>
      </c>
      <c r="LJW93" s="456" t="s">
        <v>116</v>
      </c>
      <c r="LJX93" s="456" t="s">
        <v>116</v>
      </c>
      <c r="LJY93" s="456" t="s">
        <v>116</v>
      </c>
      <c r="LJZ93" s="456" t="s">
        <v>116</v>
      </c>
      <c r="LKA93" s="456" t="s">
        <v>116</v>
      </c>
      <c r="LKB93" s="456" t="s">
        <v>116</v>
      </c>
      <c r="LKC93" s="456" t="s">
        <v>116</v>
      </c>
      <c r="LKD93" s="456" t="s">
        <v>116</v>
      </c>
      <c r="LKE93" s="456" t="s">
        <v>116</v>
      </c>
      <c r="LKF93" s="456" t="s">
        <v>116</v>
      </c>
      <c r="LKG93" s="456" t="s">
        <v>116</v>
      </c>
      <c r="LKH93" s="456" t="s">
        <v>116</v>
      </c>
      <c r="LKI93" s="456" t="s">
        <v>116</v>
      </c>
      <c r="LKJ93" s="456" t="s">
        <v>116</v>
      </c>
      <c r="LKK93" s="456" t="s">
        <v>116</v>
      </c>
      <c r="LKL93" s="456" t="s">
        <v>116</v>
      </c>
      <c r="LKM93" s="456" t="s">
        <v>116</v>
      </c>
      <c r="LKN93" s="456" t="s">
        <v>116</v>
      </c>
      <c r="LKO93" s="456" t="s">
        <v>116</v>
      </c>
      <c r="LKP93" s="456" t="s">
        <v>116</v>
      </c>
      <c r="LKQ93" s="456" t="s">
        <v>116</v>
      </c>
      <c r="LKR93" s="456" t="s">
        <v>116</v>
      </c>
      <c r="LKS93" s="456" t="s">
        <v>116</v>
      </c>
      <c r="LKT93" s="456" t="s">
        <v>116</v>
      </c>
      <c r="LKU93" s="456" t="s">
        <v>116</v>
      </c>
      <c r="LKV93" s="456" t="s">
        <v>116</v>
      </c>
      <c r="LKW93" s="456" t="s">
        <v>116</v>
      </c>
      <c r="LKX93" s="456" t="s">
        <v>116</v>
      </c>
      <c r="LKY93" s="456" t="s">
        <v>116</v>
      </c>
      <c r="LKZ93" s="456" t="s">
        <v>116</v>
      </c>
      <c r="LLA93" s="456" t="s">
        <v>116</v>
      </c>
      <c r="LLB93" s="456" t="s">
        <v>116</v>
      </c>
      <c r="LLC93" s="456" t="s">
        <v>116</v>
      </c>
      <c r="LLD93" s="456" t="s">
        <v>116</v>
      </c>
      <c r="LLE93" s="456" t="s">
        <v>116</v>
      </c>
      <c r="LLF93" s="456" t="s">
        <v>116</v>
      </c>
      <c r="LLG93" s="456" t="s">
        <v>116</v>
      </c>
      <c r="LLH93" s="456" t="s">
        <v>116</v>
      </c>
      <c r="LLI93" s="456" t="s">
        <v>116</v>
      </c>
      <c r="LLJ93" s="456" t="s">
        <v>116</v>
      </c>
      <c r="LLK93" s="456" t="s">
        <v>116</v>
      </c>
      <c r="LLL93" s="456" t="s">
        <v>116</v>
      </c>
      <c r="LLM93" s="456" t="s">
        <v>116</v>
      </c>
      <c r="LLN93" s="456" t="s">
        <v>116</v>
      </c>
      <c r="LLO93" s="456" t="s">
        <v>116</v>
      </c>
      <c r="LLP93" s="456" t="s">
        <v>116</v>
      </c>
      <c r="LLQ93" s="456" t="s">
        <v>116</v>
      </c>
      <c r="LLR93" s="456" t="s">
        <v>116</v>
      </c>
      <c r="LLS93" s="456" t="s">
        <v>116</v>
      </c>
      <c r="LLT93" s="456" t="s">
        <v>116</v>
      </c>
      <c r="LLU93" s="456" t="s">
        <v>116</v>
      </c>
      <c r="LLV93" s="456" t="s">
        <v>116</v>
      </c>
      <c r="LLW93" s="456" t="s">
        <v>116</v>
      </c>
      <c r="LLX93" s="456" t="s">
        <v>116</v>
      </c>
      <c r="LLY93" s="456" t="s">
        <v>116</v>
      </c>
      <c r="LLZ93" s="456" t="s">
        <v>116</v>
      </c>
      <c r="LMA93" s="456" t="s">
        <v>116</v>
      </c>
      <c r="LMB93" s="456" t="s">
        <v>116</v>
      </c>
      <c r="LMC93" s="456" t="s">
        <v>116</v>
      </c>
      <c r="LMD93" s="456" t="s">
        <v>116</v>
      </c>
      <c r="LME93" s="456" t="s">
        <v>116</v>
      </c>
      <c r="LMF93" s="456" t="s">
        <v>116</v>
      </c>
      <c r="LMG93" s="456" t="s">
        <v>116</v>
      </c>
      <c r="LMH93" s="456" t="s">
        <v>116</v>
      </c>
      <c r="LMI93" s="456" t="s">
        <v>116</v>
      </c>
      <c r="LMJ93" s="456" t="s">
        <v>116</v>
      </c>
      <c r="LMK93" s="456" t="s">
        <v>116</v>
      </c>
      <c r="LML93" s="456" t="s">
        <v>116</v>
      </c>
      <c r="LMM93" s="456" t="s">
        <v>116</v>
      </c>
      <c r="LMN93" s="456" t="s">
        <v>116</v>
      </c>
      <c r="LMO93" s="456" t="s">
        <v>116</v>
      </c>
      <c r="LMP93" s="456" t="s">
        <v>116</v>
      </c>
      <c r="LMQ93" s="456" t="s">
        <v>116</v>
      </c>
      <c r="LMR93" s="456" t="s">
        <v>116</v>
      </c>
      <c r="LMS93" s="456" t="s">
        <v>116</v>
      </c>
      <c r="LMT93" s="456" t="s">
        <v>116</v>
      </c>
      <c r="LMU93" s="456" t="s">
        <v>116</v>
      </c>
      <c r="LMV93" s="456" t="s">
        <v>116</v>
      </c>
      <c r="LMW93" s="456" t="s">
        <v>116</v>
      </c>
      <c r="LMX93" s="456" t="s">
        <v>116</v>
      </c>
      <c r="LMY93" s="456" t="s">
        <v>116</v>
      </c>
      <c r="LMZ93" s="456" t="s">
        <v>116</v>
      </c>
      <c r="LNA93" s="456" t="s">
        <v>116</v>
      </c>
      <c r="LNB93" s="456" t="s">
        <v>116</v>
      </c>
      <c r="LNC93" s="456" t="s">
        <v>116</v>
      </c>
      <c r="LND93" s="456" t="s">
        <v>116</v>
      </c>
      <c r="LNE93" s="456" t="s">
        <v>116</v>
      </c>
      <c r="LNF93" s="456" t="s">
        <v>116</v>
      </c>
      <c r="LNG93" s="456" t="s">
        <v>116</v>
      </c>
      <c r="LNH93" s="456" t="s">
        <v>116</v>
      </c>
      <c r="LNI93" s="456" t="s">
        <v>116</v>
      </c>
      <c r="LNJ93" s="456" t="s">
        <v>116</v>
      </c>
      <c r="LNK93" s="456" t="s">
        <v>116</v>
      </c>
      <c r="LNL93" s="456" t="s">
        <v>116</v>
      </c>
      <c r="LNM93" s="456" t="s">
        <v>116</v>
      </c>
      <c r="LNN93" s="456" t="s">
        <v>116</v>
      </c>
      <c r="LNO93" s="456" t="s">
        <v>116</v>
      </c>
      <c r="LNP93" s="456" t="s">
        <v>116</v>
      </c>
      <c r="LNQ93" s="456" t="s">
        <v>116</v>
      </c>
      <c r="LNR93" s="456" t="s">
        <v>116</v>
      </c>
      <c r="LNS93" s="456" t="s">
        <v>116</v>
      </c>
      <c r="LNT93" s="456" t="s">
        <v>116</v>
      </c>
      <c r="LNU93" s="456" t="s">
        <v>116</v>
      </c>
      <c r="LNV93" s="456" t="s">
        <v>116</v>
      </c>
      <c r="LNW93" s="456" t="s">
        <v>116</v>
      </c>
      <c r="LNX93" s="456" t="s">
        <v>116</v>
      </c>
      <c r="LNY93" s="456" t="s">
        <v>116</v>
      </c>
      <c r="LNZ93" s="456" t="s">
        <v>116</v>
      </c>
      <c r="LOA93" s="456" t="s">
        <v>116</v>
      </c>
      <c r="LOB93" s="456" t="s">
        <v>116</v>
      </c>
      <c r="LOC93" s="456" t="s">
        <v>116</v>
      </c>
      <c r="LOD93" s="456" t="s">
        <v>116</v>
      </c>
      <c r="LOE93" s="456" t="s">
        <v>116</v>
      </c>
      <c r="LOF93" s="456" t="s">
        <v>116</v>
      </c>
      <c r="LOG93" s="456" t="s">
        <v>116</v>
      </c>
      <c r="LOH93" s="456" t="s">
        <v>116</v>
      </c>
      <c r="LOI93" s="456" t="s">
        <v>116</v>
      </c>
      <c r="LOJ93" s="456" t="s">
        <v>116</v>
      </c>
      <c r="LOK93" s="456" t="s">
        <v>116</v>
      </c>
      <c r="LOL93" s="456" t="s">
        <v>116</v>
      </c>
      <c r="LOM93" s="456" t="s">
        <v>116</v>
      </c>
      <c r="LON93" s="456" t="s">
        <v>116</v>
      </c>
      <c r="LOO93" s="456" t="s">
        <v>116</v>
      </c>
      <c r="LOP93" s="456" t="s">
        <v>116</v>
      </c>
      <c r="LOQ93" s="456" t="s">
        <v>116</v>
      </c>
      <c r="LOR93" s="456" t="s">
        <v>116</v>
      </c>
      <c r="LOS93" s="456" t="s">
        <v>116</v>
      </c>
      <c r="LOT93" s="456" t="s">
        <v>116</v>
      </c>
      <c r="LOU93" s="456" t="s">
        <v>116</v>
      </c>
      <c r="LOV93" s="456" t="s">
        <v>116</v>
      </c>
      <c r="LOW93" s="456" t="s">
        <v>116</v>
      </c>
      <c r="LOX93" s="456" t="s">
        <v>116</v>
      </c>
      <c r="LOY93" s="456" t="s">
        <v>116</v>
      </c>
      <c r="LOZ93" s="456" t="s">
        <v>116</v>
      </c>
      <c r="LPA93" s="456" t="s">
        <v>116</v>
      </c>
      <c r="LPB93" s="456" t="s">
        <v>116</v>
      </c>
      <c r="LPC93" s="456" t="s">
        <v>116</v>
      </c>
      <c r="LPD93" s="456" t="s">
        <v>116</v>
      </c>
      <c r="LPE93" s="456" t="s">
        <v>116</v>
      </c>
      <c r="LPF93" s="456" t="s">
        <v>116</v>
      </c>
      <c r="LPG93" s="456" t="s">
        <v>116</v>
      </c>
      <c r="LPH93" s="456" t="s">
        <v>116</v>
      </c>
      <c r="LPI93" s="456" t="s">
        <v>116</v>
      </c>
      <c r="LPJ93" s="456" t="s">
        <v>116</v>
      </c>
      <c r="LPK93" s="456" t="s">
        <v>116</v>
      </c>
      <c r="LPL93" s="456" t="s">
        <v>116</v>
      </c>
      <c r="LPM93" s="456" t="s">
        <v>116</v>
      </c>
      <c r="LPN93" s="456" t="s">
        <v>116</v>
      </c>
      <c r="LPO93" s="456" t="s">
        <v>116</v>
      </c>
      <c r="LPP93" s="456" t="s">
        <v>116</v>
      </c>
      <c r="LPQ93" s="456" t="s">
        <v>116</v>
      </c>
      <c r="LPR93" s="456" t="s">
        <v>116</v>
      </c>
      <c r="LPS93" s="456" t="s">
        <v>116</v>
      </c>
      <c r="LPT93" s="456" t="s">
        <v>116</v>
      </c>
      <c r="LPU93" s="456" t="s">
        <v>116</v>
      </c>
      <c r="LPV93" s="456" t="s">
        <v>116</v>
      </c>
      <c r="LPW93" s="456" t="s">
        <v>116</v>
      </c>
      <c r="LPX93" s="456" t="s">
        <v>116</v>
      </c>
      <c r="LPY93" s="456" t="s">
        <v>116</v>
      </c>
      <c r="LPZ93" s="456" t="s">
        <v>116</v>
      </c>
      <c r="LQA93" s="456" t="s">
        <v>116</v>
      </c>
      <c r="LQB93" s="456" t="s">
        <v>116</v>
      </c>
      <c r="LQC93" s="456" t="s">
        <v>116</v>
      </c>
      <c r="LQD93" s="456" t="s">
        <v>116</v>
      </c>
      <c r="LQE93" s="456" t="s">
        <v>116</v>
      </c>
      <c r="LQF93" s="456" t="s">
        <v>116</v>
      </c>
      <c r="LQG93" s="456" t="s">
        <v>116</v>
      </c>
      <c r="LQH93" s="456" t="s">
        <v>116</v>
      </c>
      <c r="LQI93" s="456" t="s">
        <v>116</v>
      </c>
      <c r="LQJ93" s="456" t="s">
        <v>116</v>
      </c>
      <c r="LQK93" s="456" t="s">
        <v>116</v>
      </c>
      <c r="LQL93" s="456" t="s">
        <v>116</v>
      </c>
      <c r="LQM93" s="456" t="s">
        <v>116</v>
      </c>
      <c r="LQN93" s="456" t="s">
        <v>116</v>
      </c>
      <c r="LQO93" s="456" t="s">
        <v>116</v>
      </c>
      <c r="LQP93" s="456" t="s">
        <v>116</v>
      </c>
      <c r="LQQ93" s="456" t="s">
        <v>116</v>
      </c>
      <c r="LQR93" s="456" t="s">
        <v>116</v>
      </c>
      <c r="LQS93" s="456" t="s">
        <v>116</v>
      </c>
      <c r="LQT93" s="456" t="s">
        <v>116</v>
      </c>
      <c r="LQU93" s="456" t="s">
        <v>116</v>
      </c>
      <c r="LQV93" s="456" t="s">
        <v>116</v>
      </c>
      <c r="LQW93" s="456" t="s">
        <v>116</v>
      </c>
      <c r="LQX93" s="456" t="s">
        <v>116</v>
      </c>
      <c r="LQY93" s="456" t="s">
        <v>116</v>
      </c>
      <c r="LQZ93" s="456" t="s">
        <v>116</v>
      </c>
      <c r="LRA93" s="456" t="s">
        <v>116</v>
      </c>
      <c r="LRB93" s="456" t="s">
        <v>116</v>
      </c>
      <c r="LRC93" s="456" t="s">
        <v>116</v>
      </c>
      <c r="LRD93" s="456" t="s">
        <v>116</v>
      </c>
      <c r="LRE93" s="456" t="s">
        <v>116</v>
      </c>
      <c r="LRF93" s="456" t="s">
        <v>116</v>
      </c>
      <c r="LRG93" s="456" t="s">
        <v>116</v>
      </c>
      <c r="LRH93" s="456" t="s">
        <v>116</v>
      </c>
      <c r="LRI93" s="456" t="s">
        <v>116</v>
      </c>
      <c r="LRJ93" s="456" t="s">
        <v>116</v>
      </c>
      <c r="LRK93" s="456" t="s">
        <v>116</v>
      </c>
      <c r="LRL93" s="456" t="s">
        <v>116</v>
      </c>
      <c r="LRM93" s="456" t="s">
        <v>116</v>
      </c>
      <c r="LRN93" s="456" t="s">
        <v>116</v>
      </c>
      <c r="LRO93" s="456" t="s">
        <v>116</v>
      </c>
      <c r="LRP93" s="456" t="s">
        <v>116</v>
      </c>
      <c r="LRQ93" s="456" t="s">
        <v>116</v>
      </c>
      <c r="LRR93" s="456" t="s">
        <v>116</v>
      </c>
      <c r="LRS93" s="456" t="s">
        <v>116</v>
      </c>
      <c r="LRT93" s="456" t="s">
        <v>116</v>
      </c>
      <c r="LRU93" s="456" t="s">
        <v>116</v>
      </c>
      <c r="LRV93" s="456" t="s">
        <v>116</v>
      </c>
      <c r="LRW93" s="456" t="s">
        <v>116</v>
      </c>
      <c r="LRX93" s="456" t="s">
        <v>116</v>
      </c>
      <c r="LRY93" s="456" t="s">
        <v>116</v>
      </c>
      <c r="LRZ93" s="456" t="s">
        <v>116</v>
      </c>
      <c r="LSA93" s="456" t="s">
        <v>116</v>
      </c>
      <c r="LSB93" s="456" t="s">
        <v>116</v>
      </c>
      <c r="LSC93" s="456" t="s">
        <v>116</v>
      </c>
      <c r="LSD93" s="456" t="s">
        <v>116</v>
      </c>
      <c r="LSE93" s="456" t="s">
        <v>116</v>
      </c>
      <c r="LSF93" s="456" t="s">
        <v>116</v>
      </c>
      <c r="LSG93" s="456" t="s">
        <v>116</v>
      </c>
      <c r="LSH93" s="456" t="s">
        <v>116</v>
      </c>
      <c r="LSI93" s="456" t="s">
        <v>116</v>
      </c>
      <c r="LSJ93" s="456" t="s">
        <v>116</v>
      </c>
      <c r="LSK93" s="456" t="s">
        <v>116</v>
      </c>
      <c r="LSL93" s="456" t="s">
        <v>116</v>
      </c>
      <c r="LSM93" s="456" t="s">
        <v>116</v>
      </c>
      <c r="LSN93" s="456" t="s">
        <v>116</v>
      </c>
      <c r="LSO93" s="456" t="s">
        <v>116</v>
      </c>
      <c r="LSP93" s="456" t="s">
        <v>116</v>
      </c>
      <c r="LSQ93" s="456" t="s">
        <v>116</v>
      </c>
      <c r="LSR93" s="456" t="s">
        <v>116</v>
      </c>
      <c r="LSS93" s="456" t="s">
        <v>116</v>
      </c>
      <c r="LST93" s="456" t="s">
        <v>116</v>
      </c>
      <c r="LSU93" s="456" t="s">
        <v>116</v>
      </c>
      <c r="LSV93" s="456" t="s">
        <v>116</v>
      </c>
      <c r="LSW93" s="456" t="s">
        <v>116</v>
      </c>
      <c r="LSX93" s="456" t="s">
        <v>116</v>
      </c>
      <c r="LSY93" s="456" t="s">
        <v>116</v>
      </c>
      <c r="LSZ93" s="456" t="s">
        <v>116</v>
      </c>
      <c r="LTA93" s="456" t="s">
        <v>116</v>
      </c>
      <c r="LTB93" s="456" t="s">
        <v>116</v>
      </c>
      <c r="LTC93" s="456" t="s">
        <v>116</v>
      </c>
      <c r="LTD93" s="456" t="s">
        <v>116</v>
      </c>
      <c r="LTE93" s="456" t="s">
        <v>116</v>
      </c>
      <c r="LTF93" s="456" t="s">
        <v>116</v>
      </c>
      <c r="LTG93" s="456" t="s">
        <v>116</v>
      </c>
      <c r="LTH93" s="456" t="s">
        <v>116</v>
      </c>
      <c r="LTI93" s="456" t="s">
        <v>116</v>
      </c>
      <c r="LTJ93" s="456" t="s">
        <v>116</v>
      </c>
      <c r="LTK93" s="456" t="s">
        <v>116</v>
      </c>
      <c r="LTL93" s="456" t="s">
        <v>116</v>
      </c>
      <c r="LTM93" s="456" t="s">
        <v>116</v>
      </c>
      <c r="LTN93" s="456" t="s">
        <v>116</v>
      </c>
      <c r="LTO93" s="456" t="s">
        <v>116</v>
      </c>
      <c r="LTP93" s="456" t="s">
        <v>116</v>
      </c>
      <c r="LTQ93" s="456" t="s">
        <v>116</v>
      </c>
      <c r="LTR93" s="456" t="s">
        <v>116</v>
      </c>
      <c r="LTS93" s="456" t="s">
        <v>116</v>
      </c>
      <c r="LTT93" s="456" t="s">
        <v>116</v>
      </c>
      <c r="LTU93" s="456" t="s">
        <v>116</v>
      </c>
      <c r="LTV93" s="456" t="s">
        <v>116</v>
      </c>
      <c r="LTW93" s="456" t="s">
        <v>116</v>
      </c>
      <c r="LTX93" s="456" t="s">
        <v>116</v>
      </c>
      <c r="LTY93" s="456" t="s">
        <v>116</v>
      </c>
      <c r="LTZ93" s="456" t="s">
        <v>116</v>
      </c>
      <c r="LUA93" s="456" t="s">
        <v>116</v>
      </c>
      <c r="LUB93" s="456" t="s">
        <v>116</v>
      </c>
      <c r="LUC93" s="456" t="s">
        <v>116</v>
      </c>
      <c r="LUD93" s="456" t="s">
        <v>116</v>
      </c>
      <c r="LUE93" s="456" t="s">
        <v>116</v>
      </c>
      <c r="LUF93" s="456" t="s">
        <v>116</v>
      </c>
      <c r="LUG93" s="456" t="s">
        <v>116</v>
      </c>
      <c r="LUH93" s="456" t="s">
        <v>116</v>
      </c>
      <c r="LUI93" s="456" t="s">
        <v>116</v>
      </c>
      <c r="LUJ93" s="456" t="s">
        <v>116</v>
      </c>
      <c r="LUK93" s="456" t="s">
        <v>116</v>
      </c>
      <c r="LUL93" s="456" t="s">
        <v>116</v>
      </c>
      <c r="LUM93" s="456" t="s">
        <v>116</v>
      </c>
      <c r="LUN93" s="456" t="s">
        <v>116</v>
      </c>
      <c r="LUO93" s="456" t="s">
        <v>116</v>
      </c>
      <c r="LUP93" s="456" t="s">
        <v>116</v>
      </c>
      <c r="LUQ93" s="456" t="s">
        <v>116</v>
      </c>
      <c r="LUR93" s="456" t="s">
        <v>116</v>
      </c>
      <c r="LUS93" s="456" t="s">
        <v>116</v>
      </c>
      <c r="LUT93" s="456" t="s">
        <v>116</v>
      </c>
      <c r="LUU93" s="456" t="s">
        <v>116</v>
      </c>
      <c r="LUV93" s="456" t="s">
        <v>116</v>
      </c>
      <c r="LUW93" s="456" t="s">
        <v>116</v>
      </c>
      <c r="LUX93" s="456" t="s">
        <v>116</v>
      </c>
      <c r="LUY93" s="456" t="s">
        <v>116</v>
      </c>
      <c r="LUZ93" s="456" t="s">
        <v>116</v>
      </c>
      <c r="LVA93" s="456" t="s">
        <v>116</v>
      </c>
      <c r="LVB93" s="456" t="s">
        <v>116</v>
      </c>
      <c r="LVC93" s="456" t="s">
        <v>116</v>
      </c>
      <c r="LVD93" s="456" t="s">
        <v>116</v>
      </c>
      <c r="LVE93" s="456" t="s">
        <v>116</v>
      </c>
      <c r="LVF93" s="456" t="s">
        <v>116</v>
      </c>
      <c r="LVG93" s="456" t="s">
        <v>116</v>
      </c>
      <c r="LVH93" s="456" t="s">
        <v>116</v>
      </c>
      <c r="LVI93" s="456" t="s">
        <v>116</v>
      </c>
      <c r="LVJ93" s="456" t="s">
        <v>116</v>
      </c>
      <c r="LVK93" s="456" t="s">
        <v>116</v>
      </c>
      <c r="LVL93" s="456" t="s">
        <v>116</v>
      </c>
      <c r="LVM93" s="456" t="s">
        <v>116</v>
      </c>
      <c r="LVN93" s="456" t="s">
        <v>116</v>
      </c>
      <c r="LVO93" s="456" t="s">
        <v>116</v>
      </c>
      <c r="LVP93" s="456" t="s">
        <v>116</v>
      </c>
      <c r="LVQ93" s="456" t="s">
        <v>116</v>
      </c>
      <c r="LVR93" s="456" t="s">
        <v>116</v>
      </c>
      <c r="LVS93" s="456" t="s">
        <v>116</v>
      </c>
      <c r="LVT93" s="456" t="s">
        <v>116</v>
      </c>
      <c r="LVU93" s="456" t="s">
        <v>116</v>
      </c>
      <c r="LVV93" s="456" t="s">
        <v>116</v>
      </c>
      <c r="LVW93" s="456" t="s">
        <v>116</v>
      </c>
      <c r="LVX93" s="456" t="s">
        <v>116</v>
      </c>
      <c r="LVY93" s="456" t="s">
        <v>116</v>
      </c>
      <c r="LVZ93" s="456" t="s">
        <v>116</v>
      </c>
      <c r="LWA93" s="456" t="s">
        <v>116</v>
      </c>
      <c r="LWB93" s="456" t="s">
        <v>116</v>
      </c>
      <c r="LWC93" s="456" t="s">
        <v>116</v>
      </c>
      <c r="LWD93" s="456" t="s">
        <v>116</v>
      </c>
      <c r="LWE93" s="456" t="s">
        <v>116</v>
      </c>
      <c r="LWF93" s="456" t="s">
        <v>116</v>
      </c>
      <c r="LWG93" s="456" t="s">
        <v>116</v>
      </c>
      <c r="LWH93" s="456" t="s">
        <v>116</v>
      </c>
      <c r="LWI93" s="456" t="s">
        <v>116</v>
      </c>
      <c r="LWJ93" s="456" t="s">
        <v>116</v>
      </c>
      <c r="LWK93" s="456" t="s">
        <v>116</v>
      </c>
      <c r="LWL93" s="456" t="s">
        <v>116</v>
      </c>
      <c r="LWM93" s="456" t="s">
        <v>116</v>
      </c>
      <c r="LWN93" s="456" t="s">
        <v>116</v>
      </c>
      <c r="LWO93" s="456" t="s">
        <v>116</v>
      </c>
      <c r="LWP93" s="456" t="s">
        <v>116</v>
      </c>
      <c r="LWQ93" s="456" t="s">
        <v>116</v>
      </c>
      <c r="LWR93" s="456" t="s">
        <v>116</v>
      </c>
      <c r="LWS93" s="456" t="s">
        <v>116</v>
      </c>
      <c r="LWT93" s="456" t="s">
        <v>116</v>
      </c>
      <c r="LWU93" s="456" t="s">
        <v>116</v>
      </c>
      <c r="LWV93" s="456" t="s">
        <v>116</v>
      </c>
      <c r="LWW93" s="456" t="s">
        <v>116</v>
      </c>
      <c r="LWX93" s="456" t="s">
        <v>116</v>
      </c>
      <c r="LWY93" s="456" t="s">
        <v>116</v>
      </c>
      <c r="LWZ93" s="456" t="s">
        <v>116</v>
      </c>
      <c r="LXA93" s="456" t="s">
        <v>116</v>
      </c>
      <c r="LXB93" s="456" t="s">
        <v>116</v>
      </c>
      <c r="LXC93" s="456" t="s">
        <v>116</v>
      </c>
      <c r="LXD93" s="456" t="s">
        <v>116</v>
      </c>
      <c r="LXE93" s="456" t="s">
        <v>116</v>
      </c>
      <c r="LXF93" s="456" t="s">
        <v>116</v>
      </c>
      <c r="LXG93" s="456" t="s">
        <v>116</v>
      </c>
      <c r="LXH93" s="456" t="s">
        <v>116</v>
      </c>
      <c r="LXI93" s="456" t="s">
        <v>116</v>
      </c>
      <c r="LXJ93" s="456" t="s">
        <v>116</v>
      </c>
      <c r="LXK93" s="456" t="s">
        <v>116</v>
      </c>
      <c r="LXL93" s="456" t="s">
        <v>116</v>
      </c>
      <c r="LXM93" s="456" t="s">
        <v>116</v>
      </c>
      <c r="LXN93" s="456" t="s">
        <v>116</v>
      </c>
      <c r="LXO93" s="456" t="s">
        <v>116</v>
      </c>
      <c r="LXP93" s="456" t="s">
        <v>116</v>
      </c>
      <c r="LXQ93" s="456" t="s">
        <v>116</v>
      </c>
      <c r="LXR93" s="456" t="s">
        <v>116</v>
      </c>
      <c r="LXS93" s="456" t="s">
        <v>116</v>
      </c>
      <c r="LXT93" s="456" t="s">
        <v>116</v>
      </c>
      <c r="LXU93" s="456" t="s">
        <v>116</v>
      </c>
      <c r="LXV93" s="456" t="s">
        <v>116</v>
      </c>
      <c r="LXW93" s="456" t="s">
        <v>116</v>
      </c>
      <c r="LXX93" s="456" t="s">
        <v>116</v>
      </c>
      <c r="LXY93" s="456" t="s">
        <v>116</v>
      </c>
      <c r="LXZ93" s="456" t="s">
        <v>116</v>
      </c>
      <c r="LYA93" s="456" t="s">
        <v>116</v>
      </c>
      <c r="LYB93" s="456" t="s">
        <v>116</v>
      </c>
      <c r="LYC93" s="456" t="s">
        <v>116</v>
      </c>
      <c r="LYD93" s="456" t="s">
        <v>116</v>
      </c>
      <c r="LYE93" s="456" t="s">
        <v>116</v>
      </c>
      <c r="LYF93" s="456" t="s">
        <v>116</v>
      </c>
      <c r="LYG93" s="456" t="s">
        <v>116</v>
      </c>
      <c r="LYH93" s="456" t="s">
        <v>116</v>
      </c>
      <c r="LYI93" s="456" t="s">
        <v>116</v>
      </c>
      <c r="LYJ93" s="456" t="s">
        <v>116</v>
      </c>
      <c r="LYK93" s="456" t="s">
        <v>116</v>
      </c>
      <c r="LYL93" s="456" t="s">
        <v>116</v>
      </c>
      <c r="LYM93" s="456" t="s">
        <v>116</v>
      </c>
      <c r="LYN93" s="456" t="s">
        <v>116</v>
      </c>
      <c r="LYO93" s="456" t="s">
        <v>116</v>
      </c>
      <c r="LYP93" s="456" t="s">
        <v>116</v>
      </c>
      <c r="LYQ93" s="456" t="s">
        <v>116</v>
      </c>
      <c r="LYR93" s="456" t="s">
        <v>116</v>
      </c>
      <c r="LYS93" s="456" t="s">
        <v>116</v>
      </c>
      <c r="LYT93" s="456" t="s">
        <v>116</v>
      </c>
      <c r="LYU93" s="456" t="s">
        <v>116</v>
      </c>
      <c r="LYV93" s="456" t="s">
        <v>116</v>
      </c>
      <c r="LYW93" s="456" t="s">
        <v>116</v>
      </c>
      <c r="LYX93" s="456" t="s">
        <v>116</v>
      </c>
      <c r="LYY93" s="456" t="s">
        <v>116</v>
      </c>
      <c r="LYZ93" s="456" t="s">
        <v>116</v>
      </c>
      <c r="LZA93" s="456" t="s">
        <v>116</v>
      </c>
      <c r="LZB93" s="456" t="s">
        <v>116</v>
      </c>
      <c r="LZC93" s="456" t="s">
        <v>116</v>
      </c>
      <c r="LZD93" s="456" t="s">
        <v>116</v>
      </c>
      <c r="LZE93" s="456" t="s">
        <v>116</v>
      </c>
      <c r="LZF93" s="456" t="s">
        <v>116</v>
      </c>
      <c r="LZG93" s="456" t="s">
        <v>116</v>
      </c>
      <c r="LZH93" s="456" t="s">
        <v>116</v>
      </c>
      <c r="LZI93" s="456" t="s">
        <v>116</v>
      </c>
      <c r="LZJ93" s="456" t="s">
        <v>116</v>
      </c>
      <c r="LZK93" s="456" t="s">
        <v>116</v>
      </c>
      <c r="LZL93" s="456" t="s">
        <v>116</v>
      </c>
      <c r="LZM93" s="456" t="s">
        <v>116</v>
      </c>
      <c r="LZN93" s="456" t="s">
        <v>116</v>
      </c>
      <c r="LZO93" s="456" t="s">
        <v>116</v>
      </c>
      <c r="LZP93" s="456" t="s">
        <v>116</v>
      </c>
      <c r="LZQ93" s="456" t="s">
        <v>116</v>
      </c>
      <c r="LZR93" s="456" t="s">
        <v>116</v>
      </c>
      <c r="LZS93" s="456" t="s">
        <v>116</v>
      </c>
      <c r="LZT93" s="456" t="s">
        <v>116</v>
      </c>
      <c r="LZU93" s="456" t="s">
        <v>116</v>
      </c>
      <c r="LZV93" s="456" t="s">
        <v>116</v>
      </c>
      <c r="LZW93" s="456" t="s">
        <v>116</v>
      </c>
      <c r="LZX93" s="456" t="s">
        <v>116</v>
      </c>
      <c r="LZY93" s="456" t="s">
        <v>116</v>
      </c>
      <c r="LZZ93" s="456" t="s">
        <v>116</v>
      </c>
      <c r="MAA93" s="456" t="s">
        <v>116</v>
      </c>
      <c r="MAB93" s="456" t="s">
        <v>116</v>
      </c>
      <c r="MAC93" s="456" t="s">
        <v>116</v>
      </c>
      <c r="MAD93" s="456" t="s">
        <v>116</v>
      </c>
      <c r="MAE93" s="456" t="s">
        <v>116</v>
      </c>
      <c r="MAF93" s="456" t="s">
        <v>116</v>
      </c>
      <c r="MAG93" s="456" t="s">
        <v>116</v>
      </c>
      <c r="MAH93" s="456" t="s">
        <v>116</v>
      </c>
      <c r="MAI93" s="456" t="s">
        <v>116</v>
      </c>
      <c r="MAJ93" s="456" t="s">
        <v>116</v>
      </c>
      <c r="MAK93" s="456" t="s">
        <v>116</v>
      </c>
      <c r="MAL93" s="456" t="s">
        <v>116</v>
      </c>
      <c r="MAM93" s="456" t="s">
        <v>116</v>
      </c>
      <c r="MAN93" s="456" t="s">
        <v>116</v>
      </c>
      <c r="MAO93" s="456" t="s">
        <v>116</v>
      </c>
      <c r="MAP93" s="456" t="s">
        <v>116</v>
      </c>
      <c r="MAQ93" s="456" t="s">
        <v>116</v>
      </c>
      <c r="MAR93" s="456" t="s">
        <v>116</v>
      </c>
      <c r="MAS93" s="456" t="s">
        <v>116</v>
      </c>
      <c r="MAT93" s="456" t="s">
        <v>116</v>
      </c>
      <c r="MAU93" s="456" t="s">
        <v>116</v>
      </c>
      <c r="MAV93" s="456" t="s">
        <v>116</v>
      </c>
      <c r="MAW93" s="456" t="s">
        <v>116</v>
      </c>
      <c r="MAX93" s="456" t="s">
        <v>116</v>
      </c>
      <c r="MAY93" s="456" t="s">
        <v>116</v>
      </c>
      <c r="MAZ93" s="456" t="s">
        <v>116</v>
      </c>
      <c r="MBA93" s="456" t="s">
        <v>116</v>
      </c>
      <c r="MBB93" s="456" t="s">
        <v>116</v>
      </c>
      <c r="MBC93" s="456" t="s">
        <v>116</v>
      </c>
      <c r="MBD93" s="456" t="s">
        <v>116</v>
      </c>
      <c r="MBE93" s="456" t="s">
        <v>116</v>
      </c>
      <c r="MBF93" s="456" t="s">
        <v>116</v>
      </c>
      <c r="MBG93" s="456" t="s">
        <v>116</v>
      </c>
      <c r="MBH93" s="456" t="s">
        <v>116</v>
      </c>
      <c r="MBI93" s="456" t="s">
        <v>116</v>
      </c>
      <c r="MBJ93" s="456" t="s">
        <v>116</v>
      </c>
      <c r="MBK93" s="456" t="s">
        <v>116</v>
      </c>
      <c r="MBL93" s="456" t="s">
        <v>116</v>
      </c>
      <c r="MBM93" s="456" t="s">
        <v>116</v>
      </c>
      <c r="MBN93" s="456" t="s">
        <v>116</v>
      </c>
      <c r="MBO93" s="456" t="s">
        <v>116</v>
      </c>
      <c r="MBP93" s="456" t="s">
        <v>116</v>
      </c>
      <c r="MBQ93" s="456" t="s">
        <v>116</v>
      </c>
      <c r="MBR93" s="456" t="s">
        <v>116</v>
      </c>
      <c r="MBS93" s="456" t="s">
        <v>116</v>
      </c>
      <c r="MBT93" s="456" t="s">
        <v>116</v>
      </c>
      <c r="MBU93" s="456" t="s">
        <v>116</v>
      </c>
      <c r="MBV93" s="456" t="s">
        <v>116</v>
      </c>
      <c r="MBW93" s="456" t="s">
        <v>116</v>
      </c>
      <c r="MBX93" s="456" t="s">
        <v>116</v>
      </c>
      <c r="MBY93" s="456" t="s">
        <v>116</v>
      </c>
      <c r="MBZ93" s="456" t="s">
        <v>116</v>
      </c>
      <c r="MCA93" s="456" t="s">
        <v>116</v>
      </c>
      <c r="MCB93" s="456" t="s">
        <v>116</v>
      </c>
      <c r="MCC93" s="456" t="s">
        <v>116</v>
      </c>
      <c r="MCD93" s="456" t="s">
        <v>116</v>
      </c>
      <c r="MCE93" s="456" t="s">
        <v>116</v>
      </c>
      <c r="MCF93" s="456" t="s">
        <v>116</v>
      </c>
      <c r="MCG93" s="456" t="s">
        <v>116</v>
      </c>
      <c r="MCH93" s="456" t="s">
        <v>116</v>
      </c>
      <c r="MCI93" s="456" t="s">
        <v>116</v>
      </c>
      <c r="MCJ93" s="456" t="s">
        <v>116</v>
      </c>
      <c r="MCK93" s="456" t="s">
        <v>116</v>
      </c>
      <c r="MCL93" s="456" t="s">
        <v>116</v>
      </c>
      <c r="MCM93" s="456" t="s">
        <v>116</v>
      </c>
      <c r="MCN93" s="456" t="s">
        <v>116</v>
      </c>
      <c r="MCO93" s="456" t="s">
        <v>116</v>
      </c>
      <c r="MCP93" s="456" t="s">
        <v>116</v>
      </c>
      <c r="MCQ93" s="456" t="s">
        <v>116</v>
      </c>
      <c r="MCR93" s="456" t="s">
        <v>116</v>
      </c>
      <c r="MCS93" s="456" t="s">
        <v>116</v>
      </c>
      <c r="MCT93" s="456" t="s">
        <v>116</v>
      </c>
      <c r="MCU93" s="456" t="s">
        <v>116</v>
      </c>
      <c r="MCV93" s="456" t="s">
        <v>116</v>
      </c>
      <c r="MCW93" s="456" t="s">
        <v>116</v>
      </c>
      <c r="MCX93" s="456" t="s">
        <v>116</v>
      </c>
      <c r="MCY93" s="456" t="s">
        <v>116</v>
      </c>
      <c r="MCZ93" s="456" t="s">
        <v>116</v>
      </c>
      <c r="MDA93" s="456" t="s">
        <v>116</v>
      </c>
      <c r="MDB93" s="456" t="s">
        <v>116</v>
      </c>
      <c r="MDC93" s="456" t="s">
        <v>116</v>
      </c>
      <c r="MDD93" s="456" t="s">
        <v>116</v>
      </c>
      <c r="MDE93" s="456" t="s">
        <v>116</v>
      </c>
      <c r="MDF93" s="456" t="s">
        <v>116</v>
      </c>
      <c r="MDG93" s="456" t="s">
        <v>116</v>
      </c>
      <c r="MDH93" s="456" t="s">
        <v>116</v>
      </c>
      <c r="MDI93" s="456" t="s">
        <v>116</v>
      </c>
      <c r="MDJ93" s="456" t="s">
        <v>116</v>
      </c>
      <c r="MDK93" s="456" t="s">
        <v>116</v>
      </c>
      <c r="MDL93" s="456" t="s">
        <v>116</v>
      </c>
      <c r="MDM93" s="456" t="s">
        <v>116</v>
      </c>
      <c r="MDN93" s="456" t="s">
        <v>116</v>
      </c>
      <c r="MDO93" s="456" t="s">
        <v>116</v>
      </c>
      <c r="MDP93" s="456" t="s">
        <v>116</v>
      </c>
      <c r="MDQ93" s="456" t="s">
        <v>116</v>
      </c>
      <c r="MDR93" s="456" t="s">
        <v>116</v>
      </c>
      <c r="MDS93" s="456" t="s">
        <v>116</v>
      </c>
      <c r="MDT93" s="456" t="s">
        <v>116</v>
      </c>
      <c r="MDU93" s="456" t="s">
        <v>116</v>
      </c>
      <c r="MDV93" s="456" t="s">
        <v>116</v>
      </c>
      <c r="MDW93" s="456" t="s">
        <v>116</v>
      </c>
      <c r="MDX93" s="456" t="s">
        <v>116</v>
      </c>
      <c r="MDY93" s="456" t="s">
        <v>116</v>
      </c>
      <c r="MDZ93" s="456" t="s">
        <v>116</v>
      </c>
      <c r="MEA93" s="456" t="s">
        <v>116</v>
      </c>
      <c r="MEB93" s="456" t="s">
        <v>116</v>
      </c>
      <c r="MEC93" s="456" t="s">
        <v>116</v>
      </c>
      <c r="MED93" s="456" t="s">
        <v>116</v>
      </c>
      <c r="MEE93" s="456" t="s">
        <v>116</v>
      </c>
      <c r="MEF93" s="456" t="s">
        <v>116</v>
      </c>
      <c r="MEG93" s="456" t="s">
        <v>116</v>
      </c>
      <c r="MEH93" s="456" t="s">
        <v>116</v>
      </c>
      <c r="MEI93" s="456" t="s">
        <v>116</v>
      </c>
      <c r="MEJ93" s="456" t="s">
        <v>116</v>
      </c>
      <c r="MEK93" s="456" t="s">
        <v>116</v>
      </c>
      <c r="MEL93" s="456" t="s">
        <v>116</v>
      </c>
      <c r="MEM93" s="456" t="s">
        <v>116</v>
      </c>
      <c r="MEN93" s="456" t="s">
        <v>116</v>
      </c>
      <c r="MEO93" s="456" t="s">
        <v>116</v>
      </c>
      <c r="MEP93" s="456" t="s">
        <v>116</v>
      </c>
      <c r="MEQ93" s="456" t="s">
        <v>116</v>
      </c>
      <c r="MER93" s="456" t="s">
        <v>116</v>
      </c>
      <c r="MES93" s="456" t="s">
        <v>116</v>
      </c>
      <c r="MET93" s="456" t="s">
        <v>116</v>
      </c>
      <c r="MEU93" s="456" t="s">
        <v>116</v>
      </c>
      <c r="MEV93" s="456" t="s">
        <v>116</v>
      </c>
      <c r="MEW93" s="456" t="s">
        <v>116</v>
      </c>
      <c r="MEX93" s="456" t="s">
        <v>116</v>
      </c>
      <c r="MEY93" s="456" t="s">
        <v>116</v>
      </c>
      <c r="MEZ93" s="456" t="s">
        <v>116</v>
      </c>
      <c r="MFA93" s="456" t="s">
        <v>116</v>
      </c>
      <c r="MFB93" s="456" t="s">
        <v>116</v>
      </c>
      <c r="MFC93" s="456" t="s">
        <v>116</v>
      </c>
      <c r="MFD93" s="456" t="s">
        <v>116</v>
      </c>
      <c r="MFE93" s="456" t="s">
        <v>116</v>
      </c>
      <c r="MFF93" s="456" t="s">
        <v>116</v>
      </c>
      <c r="MFG93" s="456" t="s">
        <v>116</v>
      </c>
      <c r="MFH93" s="456" t="s">
        <v>116</v>
      </c>
      <c r="MFI93" s="456" t="s">
        <v>116</v>
      </c>
      <c r="MFJ93" s="456" t="s">
        <v>116</v>
      </c>
      <c r="MFK93" s="456" t="s">
        <v>116</v>
      </c>
      <c r="MFL93" s="456" t="s">
        <v>116</v>
      </c>
      <c r="MFM93" s="456" t="s">
        <v>116</v>
      </c>
      <c r="MFN93" s="456" t="s">
        <v>116</v>
      </c>
      <c r="MFO93" s="456" t="s">
        <v>116</v>
      </c>
      <c r="MFP93" s="456" t="s">
        <v>116</v>
      </c>
      <c r="MFQ93" s="456" t="s">
        <v>116</v>
      </c>
      <c r="MFR93" s="456" t="s">
        <v>116</v>
      </c>
      <c r="MFS93" s="456" t="s">
        <v>116</v>
      </c>
      <c r="MFT93" s="456" t="s">
        <v>116</v>
      </c>
      <c r="MFU93" s="456" t="s">
        <v>116</v>
      </c>
      <c r="MFV93" s="456" t="s">
        <v>116</v>
      </c>
      <c r="MFW93" s="456" t="s">
        <v>116</v>
      </c>
      <c r="MFX93" s="456" t="s">
        <v>116</v>
      </c>
      <c r="MFY93" s="456" t="s">
        <v>116</v>
      </c>
      <c r="MFZ93" s="456" t="s">
        <v>116</v>
      </c>
      <c r="MGA93" s="456" t="s">
        <v>116</v>
      </c>
      <c r="MGB93" s="456" t="s">
        <v>116</v>
      </c>
      <c r="MGC93" s="456" t="s">
        <v>116</v>
      </c>
      <c r="MGD93" s="456" t="s">
        <v>116</v>
      </c>
      <c r="MGE93" s="456" t="s">
        <v>116</v>
      </c>
      <c r="MGF93" s="456" t="s">
        <v>116</v>
      </c>
      <c r="MGG93" s="456" t="s">
        <v>116</v>
      </c>
      <c r="MGH93" s="456" t="s">
        <v>116</v>
      </c>
      <c r="MGI93" s="456" t="s">
        <v>116</v>
      </c>
      <c r="MGJ93" s="456" t="s">
        <v>116</v>
      </c>
      <c r="MGK93" s="456" t="s">
        <v>116</v>
      </c>
      <c r="MGL93" s="456" t="s">
        <v>116</v>
      </c>
      <c r="MGM93" s="456" t="s">
        <v>116</v>
      </c>
      <c r="MGN93" s="456" t="s">
        <v>116</v>
      </c>
      <c r="MGO93" s="456" t="s">
        <v>116</v>
      </c>
      <c r="MGP93" s="456" t="s">
        <v>116</v>
      </c>
      <c r="MGQ93" s="456" t="s">
        <v>116</v>
      </c>
      <c r="MGR93" s="456" t="s">
        <v>116</v>
      </c>
      <c r="MGS93" s="456" t="s">
        <v>116</v>
      </c>
      <c r="MGT93" s="456" t="s">
        <v>116</v>
      </c>
      <c r="MGU93" s="456" t="s">
        <v>116</v>
      </c>
      <c r="MGV93" s="456" t="s">
        <v>116</v>
      </c>
      <c r="MGW93" s="456" t="s">
        <v>116</v>
      </c>
      <c r="MGX93" s="456" t="s">
        <v>116</v>
      </c>
      <c r="MGY93" s="456" t="s">
        <v>116</v>
      </c>
      <c r="MGZ93" s="456" t="s">
        <v>116</v>
      </c>
      <c r="MHA93" s="456" t="s">
        <v>116</v>
      </c>
      <c r="MHB93" s="456" t="s">
        <v>116</v>
      </c>
      <c r="MHC93" s="456" t="s">
        <v>116</v>
      </c>
      <c r="MHD93" s="456" t="s">
        <v>116</v>
      </c>
      <c r="MHE93" s="456" t="s">
        <v>116</v>
      </c>
      <c r="MHF93" s="456" t="s">
        <v>116</v>
      </c>
      <c r="MHG93" s="456" t="s">
        <v>116</v>
      </c>
      <c r="MHH93" s="456" t="s">
        <v>116</v>
      </c>
      <c r="MHI93" s="456" t="s">
        <v>116</v>
      </c>
      <c r="MHJ93" s="456" t="s">
        <v>116</v>
      </c>
      <c r="MHK93" s="456" t="s">
        <v>116</v>
      </c>
      <c r="MHL93" s="456" t="s">
        <v>116</v>
      </c>
      <c r="MHM93" s="456" t="s">
        <v>116</v>
      </c>
      <c r="MHN93" s="456" t="s">
        <v>116</v>
      </c>
      <c r="MHO93" s="456" t="s">
        <v>116</v>
      </c>
      <c r="MHP93" s="456" t="s">
        <v>116</v>
      </c>
      <c r="MHQ93" s="456" t="s">
        <v>116</v>
      </c>
      <c r="MHR93" s="456" t="s">
        <v>116</v>
      </c>
      <c r="MHS93" s="456" t="s">
        <v>116</v>
      </c>
      <c r="MHT93" s="456" t="s">
        <v>116</v>
      </c>
      <c r="MHU93" s="456" t="s">
        <v>116</v>
      </c>
      <c r="MHV93" s="456" t="s">
        <v>116</v>
      </c>
      <c r="MHW93" s="456" t="s">
        <v>116</v>
      </c>
      <c r="MHX93" s="456" t="s">
        <v>116</v>
      </c>
      <c r="MHY93" s="456" t="s">
        <v>116</v>
      </c>
      <c r="MHZ93" s="456" t="s">
        <v>116</v>
      </c>
      <c r="MIA93" s="456" t="s">
        <v>116</v>
      </c>
      <c r="MIB93" s="456" t="s">
        <v>116</v>
      </c>
      <c r="MIC93" s="456" t="s">
        <v>116</v>
      </c>
      <c r="MID93" s="456" t="s">
        <v>116</v>
      </c>
      <c r="MIE93" s="456" t="s">
        <v>116</v>
      </c>
      <c r="MIF93" s="456" t="s">
        <v>116</v>
      </c>
      <c r="MIG93" s="456" t="s">
        <v>116</v>
      </c>
      <c r="MIH93" s="456" t="s">
        <v>116</v>
      </c>
      <c r="MII93" s="456" t="s">
        <v>116</v>
      </c>
      <c r="MIJ93" s="456" t="s">
        <v>116</v>
      </c>
      <c r="MIK93" s="456" t="s">
        <v>116</v>
      </c>
      <c r="MIL93" s="456" t="s">
        <v>116</v>
      </c>
      <c r="MIM93" s="456" t="s">
        <v>116</v>
      </c>
      <c r="MIN93" s="456" t="s">
        <v>116</v>
      </c>
      <c r="MIO93" s="456" t="s">
        <v>116</v>
      </c>
      <c r="MIP93" s="456" t="s">
        <v>116</v>
      </c>
      <c r="MIQ93" s="456" t="s">
        <v>116</v>
      </c>
      <c r="MIR93" s="456" t="s">
        <v>116</v>
      </c>
      <c r="MIS93" s="456" t="s">
        <v>116</v>
      </c>
      <c r="MIT93" s="456" t="s">
        <v>116</v>
      </c>
      <c r="MIU93" s="456" t="s">
        <v>116</v>
      </c>
      <c r="MIV93" s="456" t="s">
        <v>116</v>
      </c>
      <c r="MIW93" s="456" t="s">
        <v>116</v>
      </c>
      <c r="MIX93" s="456" t="s">
        <v>116</v>
      </c>
      <c r="MIY93" s="456" t="s">
        <v>116</v>
      </c>
      <c r="MIZ93" s="456" t="s">
        <v>116</v>
      </c>
      <c r="MJA93" s="456" t="s">
        <v>116</v>
      </c>
      <c r="MJB93" s="456" t="s">
        <v>116</v>
      </c>
      <c r="MJC93" s="456" t="s">
        <v>116</v>
      </c>
      <c r="MJD93" s="456" t="s">
        <v>116</v>
      </c>
      <c r="MJE93" s="456" t="s">
        <v>116</v>
      </c>
      <c r="MJF93" s="456" t="s">
        <v>116</v>
      </c>
      <c r="MJG93" s="456" t="s">
        <v>116</v>
      </c>
      <c r="MJH93" s="456" t="s">
        <v>116</v>
      </c>
      <c r="MJI93" s="456" t="s">
        <v>116</v>
      </c>
      <c r="MJJ93" s="456" t="s">
        <v>116</v>
      </c>
      <c r="MJK93" s="456" t="s">
        <v>116</v>
      </c>
      <c r="MJL93" s="456" t="s">
        <v>116</v>
      </c>
      <c r="MJM93" s="456" t="s">
        <v>116</v>
      </c>
      <c r="MJN93" s="456" t="s">
        <v>116</v>
      </c>
      <c r="MJO93" s="456" t="s">
        <v>116</v>
      </c>
      <c r="MJP93" s="456" t="s">
        <v>116</v>
      </c>
      <c r="MJQ93" s="456" t="s">
        <v>116</v>
      </c>
      <c r="MJR93" s="456" t="s">
        <v>116</v>
      </c>
      <c r="MJS93" s="456" t="s">
        <v>116</v>
      </c>
      <c r="MJT93" s="456" t="s">
        <v>116</v>
      </c>
      <c r="MJU93" s="456" t="s">
        <v>116</v>
      </c>
      <c r="MJV93" s="456" t="s">
        <v>116</v>
      </c>
      <c r="MJW93" s="456" t="s">
        <v>116</v>
      </c>
      <c r="MJX93" s="456" t="s">
        <v>116</v>
      </c>
      <c r="MJY93" s="456" t="s">
        <v>116</v>
      </c>
      <c r="MJZ93" s="456" t="s">
        <v>116</v>
      </c>
      <c r="MKA93" s="456" t="s">
        <v>116</v>
      </c>
      <c r="MKB93" s="456" t="s">
        <v>116</v>
      </c>
      <c r="MKC93" s="456" t="s">
        <v>116</v>
      </c>
      <c r="MKD93" s="456" t="s">
        <v>116</v>
      </c>
      <c r="MKE93" s="456" t="s">
        <v>116</v>
      </c>
      <c r="MKF93" s="456" t="s">
        <v>116</v>
      </c>
      <c r="MKG93" s="456" t="s">
        <v>116</v>
      </c>
      <c r="MKH93" s="456" t="s">
        <v>116</v>
      </c>
      <c r="MKI93" s="456" t="s">
        <v>116</v>
      </c>
      <c r="MKJ93" s="456" t="s">
        <v>116</v>
      </c>
      <c r="MKK93" s="456" t="s">
        <v>116</v>
      </c>
      <c r="MKL93" s="456" t="s">
        <v>116</v>
      </c>
      <c r="MKM93" s="456" t="s">
        <v>116</v>
      </c>
      <c r="MKN93" s="456" t="s">
        <v>116</v>
      </c>
      <c r="MKO93" s="456" t="s">
        <v>116</v>
      </c>
      <c r="MKP93" s="456" t="s">
        <v>116</v>
      </c>
      <c r="MKQ93" s="456" t="s">
        <v>116</v>
      </c>
      <c r="MKR93" s="456" t="s">
        <v>116</v>
      </c>
      <c r="MKS93" s="456" t="s">
        <v>116</v>
      </c>
      <c r="MKT93" s="456" t="s">
        <v>116</v>
      </c>
      <c r="MKU93" s="456" t="s">
        <v>116</v>
      </c>
      <c r="MKV93" s="456" t="s">
        <v>116</v>
      </c>
      <c r="MKW93" s="456" t="s">
        <v>116</v>
      </c>
      <c r="MKX93" s="456" t="s">
        <v>116</v>
      </c>
      <c r="MKY93" s="456" t="s">
        <v>116</v>
      </c>
      <c r="MKZ93" s="456" t="s">
        <v>116</v>
      </c>
      <c r="MLA93" s="456" t="s">
        <v>116</v>
      </c>
      <c r="MLB93" s="456" t="s">
        <v>116</v>
      </c>
      <c r="MLC93" s="456" t="s">
        <v>116</v>
      </c>
      <c r="MLD93" s="456" t="s">
        <v>116</v>
      </c>
      <c r="MLE93" s="456" t="s">
        <v>116</v>
      </c>
      <c r="MLF93" s="456" t="s">
        <v>116</v>
      </c>
      <c r="MLG93" s="456" t="s">
        <v>116</v>
      </c>
      <c r="MLH93" s="456" t="s">
        <v>116</v>
      </c>
      <c r="MLI93" s="456" t="s">
        <v>116</v>
      </c>
      <c r="MLJ93" s="456" t="s">
        <v>116</v>
      </c>
      <c r="MLK93" s="456" t="s">
        <v>116</v>
      </c>
      <c r="MLL93" s="456" t="s">
        <v>116</v>
      </c>
      <c r="MLM93" s="456" t="s">
        <v>116</v>
      </c>
      <c r="MLN93" s="456" t="s">
        <v>116</v>
      </c>
      <c r="MLO93" s="456" t="s">
        <v>116</v>
      </c>
      <c r="MLP93" s="456" t="s">
        <v>116</v>
      </c>
      <c r="MLQ93" s="456" t="s">
        <v>116</v>
      </c>
      <c r="MLR93" s="456" t="s">
        <v>116</v>
      </c>
      <c r="MLS93" s="456" t="s">
        <v>116</v>
      </c>
      <c r="MLT93" s="456" t="s">
        <v>116</v>
      </c>
      <c r="MLU93" s="456" t="s">
        <v>116</v>
      </c>
      <c r="MLV93" s="456" t="s">
        <v>116</v>
      </c>
      <c r="MLW93" s="456" t="s">
        <v>116</v>
      </c>
      <c r="MLX93" s="456" t="s">
        <v>116</v>
      </c>
      <c r="MLY93" s="456" t="s">
        <v>116</v>
      </c>
      <c r="MLZ93" s="456" t="s">
        <v>116</v>
      </c>
      <c r="MMA93" s="456" t="s">
        <v>116</v>
      </c>
      <c r="MMB93" s="456" t="s">
        <v>116</v>
      </c>
      <c r="MMC93" s="456" t="s">
        <v>116</v>
      </c>
      <c r="MMD93" s="456" t="s">
        <v>116</v>
      </c>
      <c r="MME93" s="456" t="s">
        <v>116</v>
      </c>
      <c r="MMF93" s="456" t="s">
        <v>116</v>
      </c>
      <c r="MMG93" s="456" t="s">
        <v>116</v>
      </c>
      <c r="MMH93" s="456" t="s">
        <v>116</v>
      </c>
      <c r="MMI93" s="456" t="s">
        <v>116</v>
      </c>
      <c r="MMJ93" s="456" t="s">
        <v>116</v>
      </c>
      <c r="MMK93" s="456" t="s">
        <v>116</v>
      </c>
      <c r="MML93" s="456" t="s">
        <v>116</v>
      </c>
      <c r="MMM93" s="456" t="s">
        <v>116</v>
      </c>
      <c r="MMN93" s="456" t="s">
        <v>116</v>
      </c>
      <c r="MMO93" s="456" t="s">
        <v>116</v>
      </c>
      <c r="MMP93" s="456" t="s">
        <v>116</v>
      </c>
      <c r="MMQ93" s="456" t="s">
        <v>116</v>
      </c>
      <c r="MMR93" s="456" t="s">
        <v>116</v>
      </c>
      <c r="MMS93" s="456" t="s">
        <v>116</v>
      </c>
      <c r="MMT93" s="456" t="s">
        <v>116</v>
      </c>
      <c r="MMU93" s="456" t="s">
        <v>116</v>
      </c>
      <c r="MMV93" s="456" t="s">
        <v>116</v>
      </c>
      <c r="MMW93" s="456" t="s">
        <v>116</v>
      </c>
      <c r="MMX93" s="456" t="s">
        <v>116</v>
      </c>
      <c r="MMY93" s="456" t="s">
        <v>116</v>
      </c>
      <c r="MMZ93" s="456" t="s">
        <v>116</v>
      </c>
      <c r="MNA93" s="456" t="s">
        <v>116</v>
      </c>
      <c r="MNB93" s="456" t="s">
        <v>116</v>
      </c>
      <c r="MNC93" s="456" t="s">
        <v>116</v>
      </c>
      <c r="MND93" s="456" t="s">
        <v>116</v>
      </c>
      <c r="MNE93" s="456" t="s">
        <v>116</v>
      </c>
      <c r="MNF93" s="456" t="s">
        <v>116</v>
      </c>
      <c r="MNG93" s="456" t="s">
        <v>116</v>
      </c>
      <c r="MNH93" s="456" t="s">
        <v>116</v>
      </c>
      <c r="MNI93" s="456" t="s">
        <v>116</v>
      </c>
      <c r="MNJ93" s="456" t="s">
        <v>116</v>
      </c>
      <c r="MNK93" s="456" t="s">
        <v>116</v>
      </c>
      <c r="MNL93" s="456" t="s">
        <v>116</v>
      </c>
      <c r="MNM93" s="456" t="s">
        <v>116</v>
      </c>
      <c r="MNN93" s="456" t="s">
        <v>116</v>
      </c>
      <c r="MNO93" s="456" t="s">
        <v>116</v>
      </c>
      <c r="MNP93" s="456" t="s">
        <v>116</v>
      </c>
      <c r="MNQ93" s="456" t="s">
        <v>116</v>
      </c>
      <c r="MNR93" s="456" t="s">
        <v>116</v>
      </c>
      <c r="MNS93" s="456" t="s">
        <v>116</v>
      </c>
      <c r="MNT93" s="456" t="s">
        <v>116</v>
      </c>
      <c r="MNU93" s="456" t="s">
        <v>116</v>
      </c>
      <c r="MNV93" s="456" t="s">
        <v>116</v>
      </c>
      <c r="MNW93" s="456" t="s">
        <v>116</v>
      </c>
      <c r="MNX93" s="456" t="s">
        <v>116</v>
      </c>
      <c r="MNY93" s="456" t="s">
        <v>116</v>
      </c>
      <c r="MNZ93" s="456" t="s">
        <v>116</v>
      </c>
      <c r="MOA93" s="456" t="s">
        <v>116</v>
      </c>
      <c r="MOB93" s="456" t="s">
        <v>116</v>
      </c>
      <c r="MOC93" s="456" t="s">
        <v>116</v>
      </c>
      <c r="MOD93" s="456" t="s">
        <v>116</v>
      </c>
      <c r="MOE93" s="456" t="s">
        <v>116</v>
      </c>
      <c r="MOF93" s="456" t="s">
        <v>116</v>
      </c>
      <c r="MOG93" s="456" t="s">
        <v>116</v>
      </c>
      <c r="MOH93" s="456" t="s">
        <v>116</v>
      </c>
      <c r="MOI93" s="456" t="s">
        <v>116</v>
      </c>
      <c r="MOJ93" s="456" t="s">
        <v>116</v>
      </c>
      <c r="MOK93" s="456" t="s">
        <v>116</v>
      </c>
      <c r="MOL93" s="456" t="s">
        <v>116</v>
      </c>
      <c r="MOM93" s="456" t="s">
        <v>116</v>
      </c>
      <c r="MON93" s="456" t="s">
        <v>116</v>
      </c>
      <c r="MOO93" s="456" t="s">
        <v>116</v>
      </c>
      <c r="MOP93" s="456" t="s">
        <v>116</v>
      </c>
      <c r="MOQ93" s="456" t="s">
        <v>116</v>
      </c>
      <c r="MOR93" s="456" t="s">
        <v>116</v>
      </c>
      <c r="MOS93" s="456" t="s">
        <v>116</v>
      </c>
      <c r="MOT93" s="456" t="s">
        <v>116</v>
      </c>
      <c r="MOU93" s="456" t="s">
        <v>116</v>
      </c>
      <c r="MOV93" s="456" t="s">
        <v>116</v>
      </c>
      <c r="MOW93" s="456" t="s">
        <v>116</v>
      </c>
      <c r="MOX93" s="456" t="s">
        <v>116</v>
      </c>
      <c r="MOY93" s="456" t="s">
        <v>116</v>
      </c>
      <c r="MOZ93" s="456" t="s">
        <v>116</v>
      </c>
      <c r="MPA93" s="456" t="s">
        <v>116</v>
      </c>
      <c r="MPB93" s="456" t="s">
        <v>116</v>
      </c>
      <c r="MPC93" s="456" t="s">
        <v>116</v>
      </c>
      <c r="MPD93" s="456" t="s">
        <v>116</v>
      </c>
      <c r="MPE93" s="456" t="s">
        <v>116</v>
      </c>
      <c r="MPF93" s="456" t="s">
        <v>116</v>
      </c>
      <c r="MPG93" s="456" t="s">
        <v>116</v>
      </c>
      <c r="MPH93" s="456" t="s">
        <v>116</v>
      </c>
      <c r="MPI93" s="456" t="s">
        <v>116</v>
      </c>
      <c r="MPJ93" s="456" t="s">
        <v>116</v>
      </c>
      <c r="MPK93" s="456" t="s">
        <v>116</v>
      </c>
      <c r="MPL93" s="456" t="s">
        <v>116</v>
      </c>
      <c r="MPM93" s="456" t="s">
        <v>116</v>
      </c>
      <c r="MPN93" s="456" t="s">
        <v>116</v>
      </c>
      <c r="MPO93" s="456" t="s">
        <v>116</v>
      </c>
      <c r="MPP93" s="456" t="s">
        <v>116</v>
      </c>
      <c r="MPQ93" s="456" t="s">
        <v>116</v>
      </c>
      <c r="MPR93" s="456" t="s">
        <v>116</v>
      </c>
      <c r="MPS93" s="456" t="s">
        <v>116</v>
      </c>
      <c r="MPT93" s="456" t="s">
        <v>116</v>
      </c>
      <c r="MPU93" s="456" t="s">
        <v>116</v>
      </c>
      <c r="MPV93" s="456" t="s">
        <v>116</v>
      </c>
      <c r="MPW93" s="456" t="s">
        <v>116</v>
      </c>
      <c r="MPX93" s="456" t="s">
        <v>116</v>
      </c>
      <c r="MPY93" s="456" t="s">
        <v>116</v>
      </c>
      <c r="MPZ93" s="456" t="s">
        <v>116</v>
      </c>
      <c r="MQA93" s="456" t="s">
        <v>116</v>
      </c>
      <c r="MQB93" s="456" t="s">
        <v>116</v>
      </c>
      <c r="MQC93" s="456" t="s">
        <v>116</v>
      </c>
      <c r="MQD93" s="456" t="s">
        <v>116</v>
      </c>
      <c r="MQE93" s="456" t="s">
        <v>116</v>
      </c>
      <c r="MQF93" s="456" t="s">
        <v>116</v>
      </c>
      <c r="MQG93" s="456" t="s">
        <v>116</v>
      </c>
      <c r="MQH93" s="456" t="s">
        <v>116</v>
      </c>
      <c r="MQI93" s="456" t="s">
        <v>116</v>
      </c>
      <c r="MQJ93" s="456" t="s">
        <v>116</v>
      </c>
      <c r="MQK93" s="456" t="s">
        <v>116</v>
      </c>
      <c r="MQL93" s="456" t="s">
        <v>116</v>
      </c>
      <c r="MQM93" s="456" t="s">
        <v>116</v>
      </c>
      <c r="MQN93" s="456" t="s">
        <v>116</v>
      </c>
      <c r="MQO93" s="456" t="s">
        <v>116</v>
      </c>
      <c r="MQP93" s="456" t="s">
        <v>116</v>
      </c>
      <c r="MQQ93" s="456" t="s">
        <v>116</v>
      </c>
      <c r="MQR93" s="456" t="s">
        <v>116</v>
      </c>
      <c r="MQS93" s="456" t="s">
        <v>116</v>
      </c>
      <c r="MQT93" s="456" t="s">
        <v>116</v>
      </c>
      <c r="MQU93" s="456" t="s">
        <v>116</v>
      </c>
      <c r="MQV93" s="456" t="s">
        <v>116</v>
      </c>
      <c r="MQW93" s="456" t="s">
        <v>116</v>
      </c>
      <c r="MQX93" s="456" t="s">
        <v>116</v>
      </c>
      <c r="MQY93" s="456" t="s">
        <v>116</v>
      </c>
      <c r="MQZ93" s="456" t="s">
        <v>116</v>
      </c>
      <c r="MRA93" s="456" t="s">
        <v>116</v>
      </c>
      <c r="MRB93" s="456" t="s">
        <v>116</v>
      </c>
      <c r="MRC93" s="456" t="s">
        <v>116</v>
      </c>
      <c r="MRD93" s="456" t="s">
        <v>116</v>
      </c>
      <c r="MRE93" s="456" t="s">
        <v>116</v>
      </c>
      <c r="MRF93" s="456" t="s">
        <v>116</v>
      </c>
      <c r="MRG93" s="456" t="s">
        <v>116</v>
      </c>
      <c r="MRH93" s="456" t="s">
        <v>116</v>
      </c>
      <c r="MRI93" s="456" t="s">
        <v>116</v>
      </c>
      <c r="MRJ93" s="456" t="s">
        <v>116</v>
      </c>
      <c r="MRK93" s="456" t="s">
        <v>116</v>
      </c>
      <c r="MRL93" s="456" t="s">
        <v>116</v>
      </c>
      <c r="MRM93" s="456" t="s">
        <v>116</v>
      </c>
      <c r="MRN93" s="456" t="s">
        <v>116</v>
      </c>
      <c r="MRO93" s="456" t="s">
        <v>116</v>
      </c>
      <c r="MRP93" s="456" t="s">
        <v>116</v>
      </c>
      <c r="MRQ93" s="456" t="s">
        <v>116</v>
      </c>
      <c r="MRR93" s="456" t="s">
        <v>116</v>
      </c>
      <c r="MRS93" s="456" t="s">
        <v>116</v>
      </c>
      <c r="MRT93" s="456" t="s">
        <v>116</v>
      </c>
      <c r="MRU93" s="456" t="s">
        <v>116</v>
      </c>
      <c r="MRV93" s="456" t="s">
        <v>116</v>
      </c>
      <c r="MRW93" s="456" t="s">
        <v>116</v>
      </c>
      <c r="MRX93" s="456" t="s">
        <v>116</v>
      </c>
      <c r="MRY93" s="456" t="s">
        <v>116</v>
      </c>
      <c r="MRZ93" s="456" t="s">
        <v>116</v>
      </c>
      <c r="MSA93" s="456" t="s">
        <v>116</v>
      </c>
      <c r="MSB93" s="456" t="s">
        <v>116</v>
      </c>
      <c r="MSC93" s="456" t="s">
        <v>116</v>
      </c>
      <c r="MSD93" s="456" t="s">
        <v>116</v>
      </c>
      <c r="MSE93" s="456" t="s">
        <v>116</v>
      </c>
      <c r="MSF93" s="456" t="s">
        <v>116</v>
      </c>
      <c r="MSG93" s="456" t="s">
        <v>116</v>
      </c>
      <c r="MSH93" s="456" t="s">
        <v>116</v>
      </c>
      <c r="MSI93" s="456" t="s">
        <v>116</v>
      </c>
      <c r="MSJ93" s="456" t="s">
        <v>116</v>
      </c>
      <c r="MSK93" s="456" t="s">
        <v>116</v>
      </c>
      <c r="MSL93" s="456" t="s">
        <v>116</v>
      </c>
      <c r="MSM93" s="456" t="s">
        <v>116</v>
      </c>
      <c r="MSN93" s="456" t="s">
        <v>116</v>
      </c>
      <c r="MSO93" s="456" t="s">
        <v>116</v>
      </c>
      <c r="MSP93" s="456" t="s">
        <v>116</v>
      </c>
      <c r="MSQ93" s="456" t="s">
        <v>116</v>
      </c>
      <c r="MSR93" s="456" t="s">
        <v>116</v>
      </c>
      <c r="MSS93" s="456" t="s">
        <v>116</v>
      </c>
      <c r="MST93" s="456" t="s">
        <v>116</v>
      </c>
      <c r="MSU93" s="456" t="s">
        <v>116</v>
      </c>
      <c r="MSV93" s="456" t="s">
        <v>116</v>
      </c>
      <c r="MSW93" s="456" t="s">
        <v>116</v>
      </c>
      <c r="MSX93" s="456" t="s">
        <v>116</v>
      </c>
      <c r="MSY93" s="456" t="s">
        <v>116</v>
      </c>
      <c r="MSZ93" s="456" t="s">
        <v>116</v>
      </c>
      <c r="MTA93" s="456" t="s">
        <v>116</v>
      </c>
      <c r="MTB93" s="456" t="s">
        <v>116</v>
      </c>
      <c r="MTC93" s="456" t="s">
        <v>116</v>
      </c>
      <c r="MTD93" s="456" t="s">
        <v>116</v>
      </c>
      <c r="MTE93" s="456" t="s">
        <v>116</v>
      </c>
      <c r="MTF93" s="456" t="s">
        <v>116</v>
      </c>
      <c r="MTG93" s="456" t="s">
        <v>116</v>
      </c>
      <c r="MTH93" s="456" t="s">
        <v>116</v>
      </c>
      <c r="MTI93" s="456" t="s">
        <v>116</v>
      </c>
      <c r="MTJ93" s="456" t="s">
        <v>116</v>
      </c>
      <c r="MTK93" s="456" t="s">
        <v>116</v>
      </c>
      <c r="MTL93" s="456" t="s">
        <v>116</v>
      </c>
      <c r="MTM93" s="456" t="s">
        <v>116</v>
      </c>
      <c r="MTN93" s="456" t="s">
        <v>116</v>
      </c>
      <c r="MTO93" s="456" t="s">
        <v>116</v>
      </c>
      <c r="MTP93" s="456" t="s">
        <v>116</v>
      </c>
      <c r="MTQ93" s="456" t="s">
        <v>116</v>
      </c>
      <c r="MTR93" s="456" t="s">
        <v>116</v>
      </c>
      <c r="MTS93" s="456" t="s">
        <v>116</v>
      </c>
      <c r="MTT93" s="456" t="s">
        <v>116</v>
      </c>
      <c r="MTU93" s="456" t="s">
        <v>116</v>
      </c>
      <c r="MTV93" s="456" t="s">
        <v>116</v>
      </c>
      <c r="MTW93" s="456" t="s">
        <v>116</v>
      </c>
      <c r="MTX93" s="456" t="s">
        <v>116</v>
      </c>
      <c r="MTY93" s="456" t="s">
        <v>116</v>
      </c>
      <c r="MTZ93" s="456" t="s">
        <v>116</v>
      </c>
      <c r="MUA93" s="456" t="s">
        <v>116</v>
      </c>
      <c r="MUB93" s="456" t="s">
        <v>116</v>
      </c>
      <c r="MUC93" s="456" t="s">
        <v>116</v>
      </c>
      <c r="MUD93" s="456" t="s">
        <v>116</v>
      </c>
      <c r="MUE93" s="456" t="s">
        <v>116</v>
      </c>
      <c r="MUF93" s="456" t="s">
        <v>116</v>
      </c>
      <c r="MUG93" s="456" t="s">
        <v>116</v>
      </c>
      <c r="MUH93" s="456" t="s">
        <v>116</v>
      </c>
      <c r="MUI93" s="456" t="s">
        <v>116</v>
      </c>
      <c r="MUJ93" s="456" t="s">
        <v>116</v>
      </c>
      <c r="MUK93" s="456" t="s">
        <v>116</v>
      </c>
      <c r="MUL93" s="456" t="s">
        <v>116</v>
      </c>
      <c r="MUM93" s="456" t="s">
        <v>116</v>
      </c>
      <c r="MUN93" s="456" t="s">
        <v>116</v>
      </c>
      <c r="MUO93" s="456" t="s">
        <v>116</v>
      </c>
      <c r="MUP93" s="456" t="s">
        <v>116</v>
      </c>
      <c r="MUQ93" s="456" t="s">
        <v>116</v>
      </c>
      <c r="MUR93" s="456" t="s">
        <v>116</v>
      </c>
      <c r="MUS93" s="456" t="s">
        <v>116</v>
      </c>
      <c r="MUT93" s="456" t="s">
        <v>116</v>
      </c>
      <c r="MUU93" s="456" t="s">
        <v>116</v>
      </c>
      <c r="MUV93" s="456" t="s">
        <v>116</v>
      </c>
      <c r="MUW93" s="456" t="s">
        <v>116</v>
      </c>
      <c r="MUX93" s="456" t="s">
        <v>116</v>
      </c>
      <c r="MUY93" s="456" t="s">
        <v>116</v>
      </c>
      <c r="MUZ93" s="456" t="s">
        <v>116</v>
      </c>
      <c r="MVA93" s="456" t="s">
        <v>116</v>
      </c>
      <c r="MVB93" s="456" t="s">
        <v>116</v>
      </c>
      <c r="MVC93" s="456" t="s">
        <v>116</v>
      </c>
      <c r="MVD93" s="456" t="s">
        <v>116</v>
      </c>
      <c r="MVE93" s="456" t="s">
        <v>116</v>
      </c>
      <c r="MVF93" s="456" t="s">
        <v>116</v>
      </c>
      <c r="MVG93" s="456" t="s">
        <v>116</v>
      </c>
      <c r="MVH93" s="456" t="s">
        <v>116</v>
      </c>
      <c r="MVI93" s="456" t="s">
        <v>116</v>
      </c>
      <c r="MVJ93" s="456" t="s">
        <v>116</v>
      </c>
      <c r="MVK93" s="456" t="s">
        <v>116</v>
      </c>
      <c r="MVL93" s="456" t="s">
        <v>116</v>
      </c>
      <c r="MVM93" s="456" t="s">
        <v>116</v>
      </c>
      <c r="MVN93" s="456" t="s">
        <v>116</v>
      </c>
      <c r="MVO93" s="456" t="s">
        <v>116</v>
      </c>
      <c r="MVP93" s="456" t="s">
        <v>116</v>
      </c>
      <c r="MVQ93" s="456" t="s">
        <v>116</v>
      </c>
      <c r="MVR93" s="456" t="s">
        <v>116</v>
      </c>
      <c r="MVS93" s="456" t="s">
        <v>116</v>
      </c>
      <c r="MVT93" s="456" t="s">
        <v>116</v>
      </c>
      <c r="MVU93" s="456" t="s">
        <v>116</v>
      </c>
      <c r="MVV93" s="456" t="s">
        <v>116</v>
      </c>
      <c r="MVW93" s="456" t="s">
        <v>116</v>
      </c>
      <c r="MVX93" s="456" t="s">
        <v>116</v>
      </c>
      <c r="MVY93" s="456" t="s">
        <v>116</v>
      </c>
      <c r="MVZ93" s="456" t="s">
        <v>116</v>
      </c>
      <c r="MWA93" s="456" t="s">
        <v>116</v>
      </c>
      <c r="MWB93" s="456" t="s">
        <v>116</v>
      </c>
      <c r="MWC93" s="456" t="s">
        <v>116</v>
      </c>
      <c r="MWD93" s="456" t="s">
        <v>116</v>
      </c>
      <c r="MWE93" s="456" t="s">
        <v>116</v>
      </c>
      <c r="MWF93" s="456" t="s">
        <v>116</v>
      </c>
      <c r="MWG93" s="456" t="s">
        <v>116</v>
      </c>
      <c r="MWH93" s="456" t="s">
        <v>116</v>
      </c>
      <c r="MWI93" s="456" t="s">
        <v>116</v>
      </c>
      <c r="MWJ93" s="456" t="s">
        <v>116</v>
      </c>
      <c r="MWK93" s="456" t="s">
        <v>116</v>
      </c>
      <c r="MWL93" s="456" t="s">
        <v>116</v>
      </c>
      <c r="MWM93" s="456" t="s">
        <v>116</v>
      </c>
      <c r="MWN93" s="456" t="s">
        <v>116</v>
      </c>
      <c r="MWO93" s="456" t="s">
        <v>116</v>
      </c>
      <c r="MWP93" s="456" t="s">
        <v>116</v>
      </c>
      <c r="MWQ93" s="456" t="s">
        <v>116</v>
      </c>
      <c r="MWR93" s="456" t="s">
        <v>116</v>
      </c>
      <c r="MWS93" s="456" t="s">
        <v>116</v>
      </c>
      <c r="MWT93" s="456" t="s">
        <v>116</v>
      </c>
      <c r="MWU93" s="456" t="s">
        <v>116</v>
      </c>
      <c r="MWV93" s="456" t="s">
        <v>116</v>
      </c>
      <c r="MWW93" s="456" t="s">
        <v>116</v>
      </c>
      <c r="MWX93" s="456" t="s">
        <v>116</v>
      </c>
      <c r="MWY93" s="456" t="s">
        <v>116</v>
      </c>
      <c r="MWZ93" s="456" t="s">
        <v>116</v>
      </c>
      <c r="MXA93" s="456" t="s">
        <v>116</v>
      </c>
      <c r="MXB93" s="456" t="s">
        <v>116</v>
      </c>
      <c r="MXC93" s="456" t="s">
        <v>116</v>
      </c>
      <c r="MXD93" s="456" t="s">
        <v>116</v>
      </c>
      <c r="MXE93" s="456" t="s">
        <v>116</v>
      </c>
      <c r="MXF93" s="456" t="s">
        <v>116</v>
      </c>
      <c r="MXG93" s="456" t="s">
        <v>116</v>
      </c>
      <c r="MXH93" s="456" t="s">
        <v>116</v>
      </c>
      <c r="MXI93" s="456" t="s">
        <v>116</v>
      </c>
      <c r="MXJ93" s="456" t="s">
        <v>116</v>
      </c>
      <c r="MXK93" s="456" t="s">
        <v>116</v>
      </c>
      <c r="MXL93" s="456" t="s">
        <v>116</v>
      </c>
      <c r="MXM93" s="456" t="s">
        <v>116</v>
      </c>
      <c r="MXN93" s="456" t="s">
        <v>116</v>
      </c>
      <c r="MXO93" s="456" t="s">
        <v>116</v>
      </c>
      <c r="MXP93" s="456" t="s">
        <v>116</v>
      </c>
      <c r="MXQ93" s="456" t="s">
        <v>116</v>
      </c>
      <c r="MXR93" s="456" t="s">
        <v>116</v>
      </c>
      <c r="MXS93" s="456" t="s">
        <v>116</v>
      </c>
      <c r="MXT93" s="456" t="s">
        <v>116</v>
      </c>
      <c r="MXU93" s="456" t="s">
        <v>116</v>
      </c>
      <c r="MXV93" s="456" t="s">
        <v>116</v>
      </c>
      <c r="MXW93" s="456" t="s">
        <v>116</v>
      </c>
      <c r="MXX93" s="456" t="s">
        <v>116</v>
      </c>
      <c r="MXY93" s="456" t="s">
        <v>116</v>
      </c>
      <c r="MXZ93" s="456" t="s">
        <v>116</v>
      </c>
      <c r="MYA93" s="456" t="s">
        <v>116</v>
      </c>
      <c r="MYB93" s="456" t="s">
        <v>116</v>
      </c>
      <c r="MYC93" s="456" t="s">
        <v>116</v>
      </c>
      <c r="MYD93" s="456" t="s">
        <v>116</v>
      </c>
      <c r="MYE93" s="456" t="s">
        <v>116</v>
      </c>
      <c r="MYF93" s="456" t="s">
        <v>116</v>
      </c>
      <c r="MYG93" s="456" t="s">
        <v>116</v>
      </c>
      <c r="MYH93" s="456" t="s">
        <v>116</v>
      </c>
      <c r="MYI93" s="456" t="s">
        <v>116</v>
      </c>
      <c r="MYJ93" s="456" t="s">
        <v>116</v>
      </c>
      <c r="MYK93" s="456" t="s">
        <v>116</v>
      </c>
      <c r="MYL93" s="456" t="s">
        <v>116</v>
      </c>
      <c r="MYM93" s="456" t="s">
        <v>116</v>
      </c>
      <c r="MYN93" s="456" t="s">
        <v>116</v>
      </c>
      <c r="MYO93" s="456" t="s">
        <v>116</v>
      </c>
      <c r="MYP93" s="456" t="s">
        <v>116</v>
      </c>
      <c r="MYQ93" s="456" t="s">
        <v>116</v>
      </c>
      <c r="MYR93" s="456" t="s">
        <v>116</v>
      </c>
      <c r="MYS93" s="456" t="s">
        <v>116</v>
      </c>
      <c r="MYT93" s="456" t="s">
        <v>116</v>
      </c>
      <c r="MYU93" s="456" t="s">
        <v>116</v>
      </c>
      <c r="MYV93" s="456" t="s">
        <v>116</v>
      </c>
      <c r="MYW93" s="456" t="s">
        <v>116</v>
      </c>
      <c r="MYX93" s="456" t="s">
        <v>116</v>
      </c>
      <c r="MYY93" s="456" t="s">
        <v>116</v>
      </c>
      <c r="MYZ93" s="456" t="s">
        <v>116</v>
      </c>
      <c r="MZA93" s="456" t="s">
        <v>116</v>
      </c>
      <c r="MZB93" s="456" t="s">
        <v>116</v>
      </c>
      <c r="MZC93" s="456" t="s">
        <v>116</v>
      </c>
      <c r="MZD93" s="456" t="s">
        <v>116</v>
      </c>
      <c r="MZE93" s="456" t="s">
        <v>116</v>
      </c>
      <c r="MZF93" s="456" t="s">
        <v>116</v>
      </c>
      <c r="MZG93" s="456" t="s">
        <v>116</v>
      </c>
      <c r="MZH93" s="456" t="s">
        <v>116</v>
      </c>
      <c r="MZI93" s="456" t="s">
        <v>116</v>
      </c>
      <c r="MZJ93" s="456" t="s">
        <v>116</v>
      </c>
      <c r="MZK93" s="456" t="s">
        <v>116</v>
      </c>
      <c r="MZL93" s="456" t="s">
        <v>116</v>
      </c>
      <c r="MZM93" s="456" t="s">
        <v>116</v>
      </c>
      <c r="MZN93" s="456" t="s">
        <v>116</v>
      </c>
      <c r="MZO93" s="456" t="s">
        <v>116</v>
      </c>
      <c r="MZP93" s="456" t="s">
        <v>116</v>
      </c>
      <c r="MZQ93" s="456" t="s">
        <v>116</v>
      </c>
      <c r="MZR93" s="456" t="s">
        <v>116</v>
      </c>
      <c r="MZS93" s="456" t="s">
        <v>116</v>
      </c>
      <c r="MZT93" s="456" t="s">
        <v>116</v>
      </c>
      <c r="MZU93" s="456" t="s">
        <v>116</v>
      </c>
      <c r="MZV93" s="456" t="s">
        <v>116</v>
      </c>
      <c r="MZW93" s="456" t="s">
        <v>116</v>
      </c>
      <c r="MZX93" s="456" t="s">
        <v>116</v>
      </c>
      <c r="MZY93" s="456" t="s">
        <v>116</v>
      </c>
      <c r="MZZ93" s="456" t="s">
        <v>116</v>
      </c>
      <c r="NAA93" s="456" t="s">
        <v>116</v>
      </c>
      <c r="NAB93" s="456" t="s">
        <v>116</v>
      </c>
      <c r="NAC93" s="456" t="s">
        <v>116</v>
      </c>
      <c r="NAD93" s="456" t="s">
        <v>116</v>
      </c>
      <c r="NAE93" s="456" t="s">
        <v>116</v>
      </c>
      <c r="NAF93" s="456" t="s">
        <v>116</v>
      </c>
      <c r="NAG93" s="456" t="s">
        <v>116</v>
      </c>
      <c r="NAH93" s="456" t="s">
        <v>116</v>
      </c>
      <c r="NAI93" s="456" t="s">
        <v>116</v>
      </c>
      <c r="NAJ93" s="456" t="s">
        <v>116</v>
      </c>
      <c r="NAK93" s="456" t="s">
        <v>116</v>
      </c>
      <c r="NAL93" s="456" t="s">
        <v>116</v>
      </c>
      <c r="NAM93" s="456" t="s">
        <v>116</v>
      </c>
      <c r="NAN93" s="456" t="s">
        <v>116</v>
      </c>
      <c r="NAO93" s="456" t="s">
        <v>116</v>
      </c>
      <c r="NAP93" s="456" t="s">
        <v>116</v>
      </c>
      <c r="NAQ93" s="456" t="s">
        <v>116</v>
      </c>
      <c r="NAR93" s="456" t="s">
        <v>116</v>
      </c>
      <c r="NAS93" s="456" t="s">
        <v>116</v>
      </c>
      <c r="NAT93" s="456" t="s">
        <v>116</v>
      </c>
      <c r="NAU93" s="456" t="s">
        <v>116</v>
      </c>
      <c r="NAV93" s="456" t="s">
        <v>116</v>
      </c>
      <c r="NAW93" s="456" t="s">
        <v>116</v>
      </c>
      <c r="NAX93" s="456" t="s">
        <v>116</v>
      </c>
      <c r="NAY93" s="456" t="s">
        <v>116</v>
      </c>
      <c r="NAZ93" s="456" t="s">
        <v>116</v>
      </c>
      <c r="NBA93" s="456" t="s">
        <v>116</v>
      </c>
      <c r="NBB93" s="456" t="s">
        <v>116</v>
      </c>
      <c r="NBC93" s="456" t="s">
        <v>116</v>
      </c>
      <c r="NBD93" s="456" t="s">
        <v>116</v>
      </c>
      <c r="NBE93" s="456" t="s">
        <v>116</v>
      </c>
      <c r="NBF93" s="456" t="s">
        <v>116</v>
      </c>
      <c r="NBG93" s="456" t="s">
        <v>116</v>
      </c>
      <c r="NBH93" s="456" t="s">
        <v>116</v>
      </c>
      <c r="NBI93" s="456" t="s">
        <v>116</v>
      </c>
      <c r="NBJ93" s="456" t="s">
        <v>116</v>
      </c>
      <c r="NBK93" s="456" t="s">
        <v>116</v>
      </c>
      <c r="NBL93" s="456" t="s">
        <v>116</v>
      </c>
      <c r="NBM93" s="456" t="s">
        <v>116</v>
      </c>
      <c r="NBN93" s="456" t="s">
        <v>116</v>
      </c>
      <c r="NBO93" s="456" t="s">
        <v>116</v>
      </c>
      <c r="NBP93" s="456" t="s">
        <v>116</v>
      </c>
      <c r="NBQ93" s="456" t="s">
        <v>116</v>
      </c>
      <c r="NBR93" s="456" t="s">
        <v>116</v>
      </c>
      <c r="NBS93" s="456" t="s">
        <v>116</v>
      </c>
      <c r="NBT93" s="456" t="s">
        <v>116</v>
      </c>
      <c r="NBU93" s="456" t="s">
        <v>116</v>
      </c>
      <c r="NBV93" s="456" t="s">
        <v>116</v>
      </c>
      <c r="NBW93" s="456" t="s">
        <v>116</v>
      </c>
      <c r="NBX93" s="456" t="s">
        <v>116</v>
      </c>
      <c r="NBY93" s="456" t="s">
        <v>116</v>
      </c>
      <c r="NBZ93" s="456" t="s">
        <v>116</v>
      </c>
      <c r="NCA93" s="456" t="s">
        <v>116</v>
      </c>
      <c r="NCB93" s="456" t="s">
        <v>116</v>
      </c>
      <c r="NCC93" s="456" t="s">
        <v>116</v>
      </c>
      <c r="NCD93" s="456" t="s">
        <v>116</v>
      </c>
      <c r="NCE93" s="456" t="s">
        <v>116</v>
      </c>
      <c r="NCF93" s="456" t="s">
        <v>116</v>
      </c>
      <c r="NCG93" s="456" t="s">
        <v>116</v>
      </c>
      <c r="NCH93" s="456" t="s">
        <v>116</v>
      </c>
      <c r="NCI93" s="456" t="s">
        <v>116</v>
      </c>
      <c r="NCJ93" s="456" t="s">
        <v>116</v>
      </c>
      <c r="NCK93" s="456" t="s">
        <v>116</v>
      </c>
      <c r="NCL93" s="456" t="s">
        <v>116</v>
      </c>
      <c r="NCM93" s="456" t="s">
        <v>116</v>
      </c>
      <c r="NCN93" s="456" t="s">
        <v>116</v>
      </c>
      <c r="NCO93" s="456" t="s">
        <v>116</v>
      </c>
      <c r="NCP93" s="456" t="s">
        <v>116</v>
      </c>
      <c r="NCQ93" s="456" t="s">
        <v>116</v>
      </c>
      <c r="NCR93" s="456" t="s">
        <v>116</v>
      </c>
      <c r="NCS93" s="456" t="s">
        <v>116</v>
      </c>
      <c r="NCT93" s="456" t="s">
        <v>116</v>
      </c>
      <c r="NCU93" s="456" t="s">
        <v>116</v>
      </c>
      <c r="NCV93" s="456" t="s">
        <v>116</v>
      </c>
      <c r="NCW93" s="456" t="s">
        <v>116</v>
      </c>
      <c r="NCX93" s="456" t="s">
        <v>116</v>
      </c>
      <c r="NCY93" s="456" t="s">
        <v>116</v>
      </c>
      <c r="NCZ93" s="456" t="s">
        <v>116</v>
      </c>
      <c r="NDA93" s="456" t="s">
        <v>116</v>
      </c>
      <c r="NDB93" s="456" t="s">
        <v>116</v>
      </c>
      <c r="NDC93" s="456" t="s">
        <v>116</v>
      </c>
      <c r="NDD93" s="456" t="s">
        <v>116</v>
      </c>
      <c r="NDE93" s="456" t="s">
        <v>116</v>
      </c>
      <c r="NDF93" s="456" t="s">
        <v>116</v>
      </c>
      <c r="NDG93" s="456" t="s">
        <v>116</v>
      </c>
      <c r="NDH93" s="456" t="s">
        <v>116</v>
      </c>
      <c r="NDI93" s="456" t="s">
        <v>116</v>
      </c>
      <c r="NDJ93" s="456" t="s">
        <v>116</v>
      </c>
      <c r="NDK93" s="456" t="s">
        <v>116</v>
      </c>
      <c r="NDL93" s="456" t="s">
        <v>116</v>
      </c>
      <c r="NDM93" s="456" t="s">
        <v>116</v>
      </c>
      <c r="NDN93" s="456" t="s">
        <v>116</v>
      </c>
      <c r="NDO93" s="456" t="s">
        <v>116</v>
      </c>
      <c r="NDP93" s="456" t="s">
        <v>116</v>
      </c>
      <c r="NDQ93" s="456" t="s">
        <v>116</v>
      </c>
      <c r="NDR93" s="456" t="s">
        <v>116</v>
      </c>
      <c r="NDS93" s="456" t="s">
        <v>116</v>
      </c>
      <c r="NDT93" s="456" t="s">
        <v>116</v>
      </c>
      <c r="NDU93" s="456" t="s">
        <v>116</v>
      </c>
      <c r="NDV93" s="456" t="s">
        <v>116</v>
      </c>
      <c r="NDW93" s="456" t="s">
        <v>116</v>
      </c>
      <c r="NDX93" s="456" t="s">
        <v>116</v>
      </c>
      <c r="NDY93" s="456" t="s">
        <v>116</v>
      </c>
      <c r="NDZ93" s="456" t="s">
        <v>116</v>
      </c>
      <c r="NEA93" s="456" t="s">
        <v>116</v>
      </c>
      <c r="NEB93" s="456" t="s">
        <v>116</v>
      </c>
      <c r="NEC93" s="456" t="s">
        <v>116</v>
      </c>
      <c r="NED93" s="456" t="s">
        <v>116</v>
      </c>
      <c r="NEE93" s="456" t="s">
        <v>116</v>
      </c>
      <c r="NEF93" s="456" t="s">
        <v>116</v>
      </c>
      <c r="NEG93" s="456" t="s">
        <v>116</v>
      </c>
      <c r="NEH93" s="456" t="s">
        <v>116</v>
      </c>
      <c r="NEI93" s="456" t="s">
        <v>116</v>
      </c>
      <c r="NEJ93" s="456" t="s">
        <v>116</v>
      </c>
      <c r="NEK93" s="456" t="s">
        <v>116</v>
      </c>
      <c r="NEL93" s="456" t="s">
        <v>116</v>
      </c>
      <c r="NEM93" s="456" t="s">
        <v>116</v>
      </c>
      <c r="NEN93" s="456" t="s">
        <v>116</v>
      </c>
      <c r="NEO93" s="456" t="s">
        <v>116</v>
      </c>
      <c r="NEP93" s="456" t="s">
        <v>116</v>
      </c>
      <c r="NEQ93" s="456" t="s">
        <v>116</v>
      </c>
      <c r="NER93" s="456" t="s">
        <v>116</v>
      </c>
      <c r="NES93" s="456" t="s">
        <v>116</v>
      </c>
      <c r="NET93" s="456" t="s">
        <v>116</v>
      </c>
      <c r="NEU93" s="456" t="s">
        <v>116</v>
      </c>
      <c r="NEV93" s="456" t="s">
        <v>116</v>
      </c>
      <c r="NEW93" s="456" t="s">
        <v>116</v>
      </c>
      <c r="NEX93" s="456" t="s">
        <v>116</v>
      </c>
      <c r="NEY93" s="456" t="s">
        <v>116</v>
      </c>
      <c r="NEZ93" s="456" t="s">
        <v>116</v>
      </c>
      <c r="NFA93" s="456" t="s">
        <v>116</v>
      </c>
      <c r="NFB93" s="456" t="s">
        <v>116</v>
      </c>
      <c r="NFC93" s="456" t="s">
        <v>116</v>
      </c>
      <c r="NFD93" s="456" t="s">
        <v>116</v>
      </c>
      <c r="NFE93" s="456" t="s">
        <v>116</v>
      </c>
      <c r="NFF93" s="456" t="s">
        <v>116</v>
      </c>
      <c r="NFG93" s="456" t="s">
        <v>116</v>
      </c>
      <c r="NFH93" s="456" t="s">
        <v>116</v>
      </c>
      <c r="NFI93" s="456" t="s">
        <v>116</v>
      </c>
      <c r="NFJ93" s="456" t="s">
        <v>116</v>
      </c>
      <c r="NFK93" s="456" t="s">
        <v>116</v>
      </c>
      <c r="NFL93" s="456" t="s">
        <v>116</v>
      </c>
      <c r="NFM93" s="456" t="s">
        <v>116</v>
      </c>
      <c r="NFN93" s="456" t="s">
        <v>116</v>
      </c>
      <c r="NFO93" s="456" t="s">
        <v>116</v>
      </c>
      <c r="NFP93" s="456" t="s">
        <v>116</v>
      </c>
      <c r="NFQ93" s="456" t="s">
        <v>116</v>
      </c>
      <c r="NFR93" s="456" t="s">
        <v>116</v>
      </c>
      <c r="NFS93" s="456" t="s">
        <v>116</v>
      </c>
      <c r="NFT93" s="456" t="s">
        <v>116</v>
      </c>
      <c r="NFU93" s="456" t="s">
        <v>116</v>
      </c>
      <c r="NFV93" s="456" t="s">
        <v>116</v>
      </c>
      <c r="NFW93" s="456" t="s">
        <v>116</v>
      </c>
      <c r="NFX93" s="456" t="s">
        <v>116</v>
      </c>
      <c r="NFY93" s="456" t="s">
        <v>116</v>
      </c>
      <c r="NFZ93" s="456" t="s">
        <v>116</v>
      </c>
      <c r="NGA93" s="456" t="s">
        <v>116</v>
      </c>
      <c r="NGB93" s="456" t="s">
        <v>116</v>
      </c>
      <c r="NGC93" s="456" t="s">
        <v>116</v>
      </c>
      <c r="NGD93" s="456" t="s">
        <v>116</v>
      </c>
      <c r="NGE93" s="456" t="s">
        <v>116</v>
      </c>
      <c r="NGF93" s="456" t="s">
        <v>116</v>
      </c>
      <c r="NGG93" s="456" t="s">
        <v>116</v>
      </c>
      <c r="NGH93" s="456" t="s">
        <v>116</v>
      </c>
      <c r="NGI93" s="456" t="s">
        <v>116</v>
      </c>
      <c r="NGJ93" s="456" t="s">
        <v>116</v>
      </c>
      <c r="NGK93" s="456" t="s">
        <v>116</v>
      </c>
      <c r="NGL93" s="456" t="s">
        <v>116</v>
      </c>
      <c r="NGM93" s="456" t="s">
        <v>116</v>
      </c>
      <c r="NGN93" s="456" t="s">
        <v>116</v>
      </c>
      <c r="NGO93" s="456" t="s">
        <v>116</v>
      </c>
      <c r="NGP93" s="456" t="s">
        <v>116</v>
      </c>
      <c r="NGQ93" s="456" t="s">
        <v>116</v>
      </c>
      <c r="NGR93" s="456" t="s">
        <v>116</v>
      </c>
      <c r="NGS93" s="456" t="s">
        <v>116</v>
      </c>
      <c r="NGT93" s="456" t="s">
        <v>116</v>
      </c>
      <c r="NGU93" s="456" t="s">
        <v>116</v>
      </c>
      <c r="NGV93" s="456" t="s">
        <v>116</v>
      </c>
      <c r="NGW93" s="456" t="s">
        <v>116</v>
      </c>
      <c r="NGX93" s="456" t="s">
        <v>116</v>
      </c>
      <c r="NGY93" s="456" t="s">
        <v>116</v>
      </c>
      <c r="NGZ93" s="456" t="s">
        <v>116</v>
      </c>
      <c r="NHA93" s="456" t="s">
        <v>116</v>
      </c>
      <c r="NHB93" s="456" t="s">
        <v>116</v>
      </c>
      <c r="NHC93" s="456" t="s">
        <v>116</v>
      </c>
      <c r="NHD93" s="456" t="s">
        <v>116</v>
      </c>
      <c r="NHE93" s="456" t="s">
        <v>116</v>
      </c>
      <c r="NHF93" s="456" t="s">
        <v>116</v>
      </c>
      <c r="NHG93" s="456" t="s">
        <v>116</v>
      </c>
      <c r="NHH93" s="456" t="s">
        <v>116</v>
      </c>
      <c r="NHI93" s="456" t="s">
        <v>116</v>
      </c>
      <c r="NHJ93" s="456" t="s">
        <v>116</v>
      </c>
      <c r="NHK93" s="456" t="s">
        <v>116</v>
      </c>
      <c r="NHL93" s="456" t="s">
        <v>116</v>
      </c>
      <c r="NHM93" s="456" t="s">
        <v>116</v>
      </c>
      <c r="NHN93" s="456" t="s">
        <v>116</v>
      </c>
      <c r="NHO93" s="456" t="s">
        <v>116</v>
      </c>
      <c r="NHP93" s="456" t="s">
        <v>116</v>
      </c>
      <c r="NHQ93" s="456" t="s">
        <v>116</v>
      </c>
      <c r="NHR93" s="456" t="s">
        <v>116</v>
      </c>
      <c r="NHS93" s="456" t="s">
        <v>116</v>
      </c>
      <c r="NHT93" s="456" t="s">
        <v>116</v>
      </c>
      <c r="NHU93" s="456" t="s">
        <v>116</v>
      </c>
      <c r="NHV93" s="456" t="s">
        <v>116</v>
      </c>
      <c r="NHW93" s="456" t="s">
        <v>116</v>
      </c>
      <c r="NHX93" s="456" t="s">
        <v>116</v>
      </c>
      <c r="NHY93" s="456" t="s">
        <v>116</v>
      </c>
      <c r="NHZ93" s="456" t="s">
        <v>116</v>
      </c>
      <c r="NIA93" s="456" t="s">
        <v>116</v>
      </c>
      <c r="NIB93" s="456" t="s">
        <v>116</v>
      </c>
      <c r="NIC93" s="456" t="s">
        <v>116</v>
      </c>
      <c r="NID93" s="456" t="s">
        <v>116</v>
      </c>
      <c r="NIE93" s="456" t="s">
        <v>116</v>
      </c>
      <c r="NIF93" s="456" t="s">
        <v>116</v>
      </c>
      <c r="NIG93" s="456" t="s">
        <v>116</v>
      </c>
      <c r="NIH93" s="456" t="s">
        <v>116</v>
      </c>
      <c r="NII93" s="456" t="s">
        <v>116</v>
      </c>
      <c r="NIJ93" s="456" t="s">
        <v>116</v>
      </c>
      <c r="NIK93" s="456" t="s">
        <v>116</v>
      </c>
      <c r="NIL93" s="456" t="s">
        <v>116</v>
      </c>
      <c r="NIM93" s="456" t="s">
        <v>116</v>
      </c>
      <c r="NIN93" s="456" t="s">
        <v>116</v>
      </c>
      <c r="NIO93" s="456" t="s">
        <v>116</v>
      </c>
      <c r="NIP93" s="456" t="s">
        <v>116</v>
      </c>
      <c r="NIQ93" s="456" t="s">
        <v>116</v>
      </c>
      <c r="NIR93" s="456" t="s">
        <v>116</v>
      </c>
      <c r="NIS93" s="456" t="s">
        <v>116</v>
      </c>
      <c r="NIT93" s="456" t="s">
        <v>116</v>
      </c>
      <c r="NIU93" s="456" t="s">
        <v>116</v>
      </c>
      <c r="NIV93" s="456" t="s">
        <v>116</v>
      </c>
      <c r="NIW93" s="456" t="s">
        <v>116</v>
      </c>
      <c r="NIX93" s="456" t="s">
        <v>116</v>
      </c>
      <c r="NIY93" s="456" t="s">
        <v>116</v>
      </c>
      <c r="NIZ93" s="456" t="s">
        <v>116</v>
      </c>
      <c r="NJA93" s="456" t="s">
        <v>116</v>
      </c>
      <c r="NJB93" s="456" t="s">
        <v>116</v>
      </c>
      <c r="NJC93" s="456" t="s">
        <v>116</v>
      </c>
      <c r="NJD93" s="456" t="s">
        <v>116</v>
      </c>
      <c r="NJE93" s="456" t="s">
        <v>116</v>
      </c>
      <c r="NJF93" s="456" t="s">
        <v>116</v>
      </c>
      <c r="NJG93" s="456" t="s">
        <v>116</v>
      </c>
      <c r="NJH93" s="456" t="s">
        <v>116</v>
      </c>
      <c r="NJI93" s="456" t="s">
        <v>116</v>
      </c>
      <c r="NJJ93" s="456" t="s">
        <v>116</v>
      </c>
      <c r="NJK93" s="456" t="s">
        <v>116</v>
      </c>
      <c r="NJL93" s="456" t="s">
        <v>116</v>
      </c>
      <c r="NJM93" s="456" t="s">
        <v>116</v>
      </c>
      <c r="NJN93" s="456" t="s">
        <v>116</v>
      </c>
      <c r="NJO93" s="456" t="s">
        <v>116</v>
      </c>
      <c r="NJP93" s="456" t="s">
        <v>116</v>
      </c>
      <c r="NJQ93" s="456" t="s">
        <v>116</v>
      </c>
      <c r="NJR93" s="456" t="s">
        <v>116</v>
      </c>
      <c r="NJS93" s="456" t="s">
        <v>116</v>
      </c>
      <c r="NJT93" s="456" t="s">
        <v>116</v>
      </c>
      <c r="NJU93" s="456" t="s">
        <v>116</v>
      </c>
      <c r="NJV93" s="456" t="s">
        <v>116</v>
      </c>
      <c r="NJW93" s="456" t="s">
        <v>116</v>
      </c>
      <c r="NJX93" s="456" t="s">
        <v>116</v>
      </c>
      <c r="NJY93" s="456" t="s">
        <v>116</v>
      </c>
      <c r="NJZ93" s="456" t="s">
        <v>116</v>
      </c>
      <c r="NKA93" s="456" t="s">
        <v>116</v>
      </c>
      <c r="NKB93" s="456" t="s">
        <v>116</v>
      </c>
      <c r="NKC93" s="456" t="s">
        <v>116</v>
      </c>
      <c r="NKD93" s="456" t="s">
        <v>116</v>
      </c>
      <c r="NKE93" s="456" t="s">
        <v>116</v>
      </c>
      <c r="NKF93" s="456" t="s">
        <v>116</v>
      </c>
      <c r="NKG93" s="456" t="s">
        <v>116</v>
      </c>
      <c r="NKH93" s="456" t="s">
        <v>116</v>
      </c>
      <c r="NKI93" s="456" t="s">
        <v>116</v>
      </c>
      <c r="NKJ93" s="456" t="s">
        <v>116</v>
      </c>
      <c r="NKK93" s="456" t="s">
        <v>116</v>
      </c>
      <c r="NKL93" s="456" t="s">
        <v>116</v>
      </c>
      <c r="NKM93" s="456" t="s">
        <v>116</v>
      </c>
      <c r="NKN93" s="456" t="s">
        <v>116</v>
      </c>
      <c r="NKO93" s="456" t="s">
        <v>116</v>
      </c>
      <c r="NKP93" s="456" t="s">
        <v>116</v>
      </c>
      <c r="NKQ93" s="456" t="s">
        <v>116</v>
      </c>
      <c r="NKR93" s="456" t="s">
        <v>116</v>
      </c>
      <c r="NKS93" s="456" t="s">
        <v>116</v>
      </c>
      <c r="NKT93" s="456" t="s">
        <v>116</v>
      </c>
      <c r="NKU93" s="456" t="s">
        <v>116</v>
      </c>
      <c r="NKV93" s="456" t="s">
        <v>116</v>
      </c>
      <c r="NKW93" s="456" t="s">
        <v>116</v>
      </c>
      <c r="NKX93" s="456" t="s">
        <v>116</v>
      </c>
      <c r="NKY93" s="456" t="s">
        <v>116</v>
      </c>
      <c r="NKZ93" s="456" t="s">
        <v>116</v>
      </c>
      <c r="NLA93" s="456" t="s">
        <v>116</v>
      </c>
      <c r="NLB93" s="456" t="s">
        <v>116</v>
      </c>
      <c r="NLC93" s="456" t="s">
        <v>116</v>
      </c>
      <c r="NLD93" s="456" t="s">
        <v>116</v>
      </c>
      <c r="NLE93" s="456" t="s">
        <v>116</v>
      </c>
      <c r="NLF93" s="456" t="s">
        <v>116</v>
      </c>
      <c r="NLG93" s="456" t="s">
        <v>116</v>
      </c>
      <c r="NLH93" s="456" t="s">
        <v>116</v>
      </c>
      <c r="NLI93" s="456" t="s">
        <v>116</v>
      </c>
      <c r="NLJ93" s="456" t="s">
        <v>116</v>
      </c>
      <c r="NLK93" s="456" t="s">
        <v>116</v>
      </c>
      <c r="NLL93" s="456" t="s">
        <v>116</v>
      </c>
      <c r="NLM93" s="456" t="s">
        <v>116</v>
      </c>
      <c r="NLN93" s="456" t="s">
        <v>116</v>
      </c>
      <c r="NLO93" s="456" t="s">
        <v>116</v>
      </c>
      <c r="NLP93" s="456" t="s">
        <v>116</v>
      </c>
      <c r="NLQ93" s="456" t="s">
        <v>116</v>
      </c>
      <c r="NLR93" s="456" t="s">
        <v>116</v>
      </c>
      <c r="NLS93" s="456" t="s">
        <v>116</v>
      </c>
      <c r="NLT93" s="456" t="s">
        <v>116</v>
      </c>
      <c r="NLU93" s="456" t="s">
        <v>116</v>
      </c>
      <c r="NLV93" s="456" t="s">
        <v>116</v>
      </c>
      <c r="NLW93" s="456" t="s">
        <v>116</v>
      </c>
      <c r="NLX93" s="456" t="s">
        <v>116</v>
      </c>
      <c r="NLY93" s="456" t="s">
        <v>116</v>
      </c>
      <c r="NLZ93" s="456" t="s">
        <v>116</v>
      </c>
      <c r="NMA93" s="456" t="s">
        <v>116</v>
      </c>
      <c r="NMB93" s="456" t="s">
        <v>116</v>
      </c>
      <c r="NMC93" s="456" t="s">
        <v>116</v>
      </c>
      <c r="NMD93" s="456" t="s">
        <v>116</v>
      </c>
      <c r="NME93" s="456" t="s">
        <v>116</v>
      </c>
      <c r="NMF93" s="456" t="s">
        <v>116</v>
      </c>
      <c r="NMG93" s="456" t="s">
        <v>116</v>
      </c>
      <c r="NMH93" s="456" t="s">
        <v>116</v>
      </c>
      <c r="NMI93" s="456" t="s">
        <v>116</v>
      </c>
      <c r="NMJ93" s="456" t="s">
        <v>116</v>
      </c>
      <c r="NMK93" s="456" t="s">
        <v>116</v>
      </c>
      <c r="NML93" s="456" t="s">
        <v>116</v>
      </c>
      <c r="NMM93" s="456" t="s">
        <v>116</v>
      </c>
      <c r="NMN93" s="456" t="s">
        <v>116</v>
      </c>
      <c r="NMO93" s="456" t="s">
        <v>116</v>
      </c>
      <c r="NMP93" s="456" t="s">
        <v>116</v>
      </c>
      <c r="NMQ93" s="456" t="s">
        <v>116</v>
      </c>
      <c r="NMR93" s="456" t="s">
        <v>116</v>
      </c>
      <c r="NMS93" s="456" t="s">
        <v>116</v>
      </c>
      <c r="NMT93" s="456" t="s">
        <v>116</v>
      </c>
      <c r="NMU93" s="456" t="s">
        <v>116</v>
      </c>
      <c r="NMV93" s="456" t="s">
        <v>116</v>
      </c>
      <c r="NMW93" s="456" t="s">
        <v>116</v>
      </c>
      <c r="NMX93" s="456" t="s">
        <v>116</v>
      </c>
      <c r="NMY93" s="456" t="s">
        <v>116</v>
      </c>
      <c r="NMZ93" s="456" t="s">
        <v>116</v>
      </c>
      <c r="NNA93" s="456" t="s">
        <v>116</v>
      </c>
      <c r="NNB93" s="456" t="s">
        <v>116</v>
      </c>
      <c r="NNC93" s="456" t="s">
        <v>116</v>
      </c>
      <c r="NND93" s="456" t="s">
        <v>116</v>
      </c>
      <c r="NNE93" s="456" t="s">
        <v>116</v>
      </c>
      <c r="NNF93" s="456" t="s">
        <v>116</v>
      </c>
      <c r="NNG93" s="456" t="s">
        <v>116</v>
      </c>
      <c r="NNH93" s="456" t="s">
        <v>116</v>
      </c>
      <c r="NNI93" s="456" t="s">
        <v>116</v>
      </c>
      <c r="NNJ93" s="456" t="s">
        <v>116</v>
      </c>
      <c r="NNK93" s="456" t="s">
        <v>116</v>
      </c>
      <c r="NNL93" s="456" t="s">
        <v>116</v>
      </c>
      <c r="NNM93" s="456" t="s">
        <v>116</v>
      </c>
      <c r="NNN93" s="456" t="s">
        <v>116</v>
      </c>
      <c r="NNO93" s="456" t="s">
        <v>116</v>
      </c>
      <c r="NNP93" s="456" t="s">
        <v>116</v>
      </c>
      <c r="NNQ93" s="456" t="s">
        <v>116</v>
      </c>
      <c r="NNR93" s="456" t="s">
        <v>116</v>
      </c>
      <c r="NNS93" s="456" t="s">
        <v>116</v>
      </c>
      <c r="NNT93" s="456" t="s">
        <v>116</v>
      </c>
      <c r="NNU93" s="456" t="s">
        <v>116</v>
      </c>
      <c r="NNV93" s="456" t="s">
        <v>116</v>
      </c>
      <c r="NNW93" s="456" t="s">
        <v>116</v>
      </c>
      <c r="NNX93" s="456" t="s">
        <v>116</v>
      </c>
      <c r="NNY93" s="456" t="s">
        <v>116</v>
      </c>
      <c r="NNZ93" s="456" t="s">
        <v>116</v>
      </c>
      <c r="NOA93" s="456" t="s">
        <v>116</v>
      </c>
      <c r="NOB93" s="456" t="s">
        <v>116</v>
      </c>
      <c r="NOC93" s="456" t="s">
        <v>116</v>
      </c>
      <c r="NOD93" s="456" t="s">
        <v>116</v>
      </c>
      <c r="NOE93" s="456" t="s">
        <v>116</v>
      </c>
      <c r="NOF93" s="456" t="s">
        <v>116</v>
      </c>
      <c r="NOG93" s="456" t="s">
        <v>116</v>
      </c>
      <c r="NOH93" s="456" t="s">
        <v>116</v>
      </c>
      <c r="NOI93" s="456" t="s">
        <v>116</v>
      </c>
      <c r="NOJ93" s="456" t="s">
        <v>116</v>
      </c>
      <c r="NOK93" s="456" t="s">
        <v>116</v>
      </c>
      <c r="NOL93" s="456" t="s">
        <v>116</v>
      </c>
      <c r="NOM93" s="456" t="s">
        <v>116</v>
      </c>
      <c r="NON93" s="456" t="s">
        <v>116</v>
      </c>
      <c r="NOO93" s="456" t="s">
        <v>116</v>
      </c>
      <c r="NOP93" s="456" t="s">
        <v>116</v>
      </c>
      <c r="NOQ93" s="456" t="s">
        <v>116</v>
      </c>
      <c r="NOR93" s="456" t="s">
        <v>116</v>
      </c>
      <c r="NOS93" s="456" t="s">
        <v>116</v>
      </c>
      <c r="NOT93" s="456" t="s">
        <v>116</v>
      </c>
      <c r="NOU93" s="456" t="s">
        <v>116</v>
      </c>
      <c r="NOV93" s="456" t="s">
        <v>116</v>
      </c>
      <c r="NOW93" s="456" t="s">
        <v>116</v>
      </c>
      <c r="NOX93" s="456" t="s">
        <v>116</v>
      </c>
      <c r="NOY93" s="456" t="s">
        <v>116</v>
      </c>
      <c r="NOZ93" s="456" t="s">
        <v>116</v>
      </c>
      <c r="NPA93" s="456" t="s">
        <v>116</v>
      </c>
      <c r="NPB93" s="456" t="s">
        <v>116</v>
      </c>
      <c r="NPC93" s="456" t="s">
        <v>116</v>
      </c>
      <c r="NPD93" s="456" t="s">
        <v>116</v>
      </c>
      <c r="NPE93" s="456" t="s">
        <v>116</v>
      </c>
      <c r="NPF93" s="456" t="s">
        <v>116</v>
      </c>
      <c r="NPG93" s="456" t="s">
        <v>116</v>
      </c>
      <c r="NPH93" s="456" t="s">
        <v>116</v>
      </c>
      <c r="NPI93" s="456" t="s">
        <v>116</v>
      </c>
      <c r="NPJ93" s="456" t="s">
        <v>116</v>
      </c>
      <c r="NPK93" s="456" t="s">
        <v>116</v>
      </c>
      <c r="NPL93" s="456" t="s">
        <v>116</v>
      </c>
      <c r="NPM93" s="456" t="s">
        <v>116</v>
      </c>
      <c r="NPN93" s="456" t="s">
        <v>116</v>
      </c>
      <c r="NPO93" s="456" t="s">
        <v>116</v>
      </c>
      <c r="NPP93" s="456" t="s">
        <v>116</v>
      </c>
      <c r="NPQ93" s="456" t="s">
        <v>116</v>
      </c>
      <c r="NPR93" s="456" t="s">
        <v>116</v>
      </c>
      <c r="NPS93" s="456" t="s">
        <v>116</v>
      </c>
      <c r="NPT93" s="456" t="s">
        <v>116</v>
      </c>
      <c r="NPU93" s="456" t="s">
        <v>116</v>
      </c>
      <c r="NPV93" s="456" t="s">
        <v>116</v>
      </c>
      <c r="NPW93" s="456" t="s">
        <v>116</v>
      </c>
      <c r="NPX93" s="456" t="s">
        <v>116</v>
      </c>
      <c r="NPY93" s="456" t="s">
        <v>116</v>
      </c>
      <c r="NPZ93" s="456" t="s">
        <v>116</v>
      </c>
      <c r="NQA93" s="456" t="s">
        <v>116</v>
      </c>
      <c r="NQB93" s="456" t="s">
        <v>116</v>
      </c>
      <c r="NQC93" s="456" t="s">
        <v>116</v>
      </c>
      <c r="NQD93" s="456" t="s">
        <v>116</v>
      </c>
      <c r="NQE93" s="456" t="s">
        <v>116</v>
      </c>
      <c r="NQF93" s="456" t="s">
        <v>116</v>
      </c>
      <c r="NQG93" s="456" t="s">
        <v>116</v>
      </c>
      <c r="NQH93" s="456" t="s">
        <v>116</v>
      </c>
      <c r="NQI93" s="456" t="s">
        <v>116</v>
      </c>
      <c r="NQJ93" s="456" t="s">
        <v>116</v>
      </c>
      <c r="NQK93" s="456" t="s">
        <v>116</v>
      </c>
      <c r="NQL93" s="456" t="s">
        <v>116</v>
      </c>
      <c r="NQM93" s="456" t="s">
        <v>116</v>
      </c>
      <c r="NQN93" s="456" t="s">
        <v>116</v>
      </c>
      <c r="NQO93" s="456" t="s">
        <v>116</v>
      </c>
      <c r="NQP93" s="456" t="s">
        <v>116</v>
      </c>
      <c r="NQQ93" s="456" t="s">
        <v>116</v>
      </c>
      <c r="NQR93" s="456" t="s">
        <v>116</v>
      </c>
      <c r="NQS93" s="456" t="s">
        <v>116</v>
      </c>
      <c r="NQT93" s="456" t="s">
        <v>116</v>
      </c>
      <c r="NQU93" s="456" t="s">
        <v>116</v>
      </c>
      <c r="NQV93" s="456" t="s">
        <v>116</v>
      </c>
      <c r="NQW93" s="456" t="s">
        <v>116</v>
      </c>
      <c r="NQX93" s="456" t="s">
        <v>116</v>
      </c>
      <c r="NQY93" s="456" t="s">
        <v>116</v>
      </c>
      <c r="NQZ93" s="456" t="s">
        <v>116</v>
      </c>
      <c r="NRA93" s="456" t="s">
        <v>116</v>
      </c>
      <c r="NRB93" s="456" t="s">
        <v>116</v>
      </c>
      <c r="NRC93" s="456" t="s">
        <v>116</v>
      </c>
      <c r="NRD93" s="456" t="s">
        <v>116</v>
      </c>
      <c r="NRE93" s="456" t="s">
        <v>116</v>
      </c>
      <c r="NRF93" s="456" t="s">
        <v>116</v>
      </c>
      <c r="NRG93" s="456" t="s">
        <v>116</v>
      </c>
      <c r="NRH93" s="456" t="s">
        <v>116</v>
      </c>
      <c r="NRI93" s="456" t="s">
        <v>116</v>
      </c>
      <c r="NRJ93" s="456" t="s">
        <v>116</v>
      </c>
      <c r="NRK93" s="456" t="s">
        <v>116</v>
      </c>
      <c r="NRL93" s="456" t="s">
        <v>116</v>
      </c>
      <c r="NRM93" s="456" t="s">
        <v>116</v>
      </c>
      <c r="NRN93" s="456" t="s">
        <v>116</v>
      </c>
      <c r="NRO93" s="456" t="s">
        <v>116</v>
      </c>
      <c r="NRP93" s="456" t="s">
        <v>116</v>
      </c>
      <c r="NRQ93" s="456" t="s">
        <v>116</v>
      </c>
      <c r="NRR93" s="456" t="s">
        <v>116</v>
      </c>
      <c r="NRS93" s="456" t="s">
        <v>116</v>
      </c>
      <c r="NRT93" s="456" t="s">
        <v>116</v>
      </c>
      <c r="NRU93" s="456" t="s">
        <v>116</v>
      </c>
      <c r="NRV93" s="456" t="s">
        <v>116</v>
      </c>
      <c r="NRW93" s="456" t="s">
        <v>116</v>
      </c>
      <c r="NRX93" s="456" t="s">
        <v>116</v>
      </c>
      <c r="NRY93" s="456" t="s">
        <v>116</v>
      </c>
      <c r="NRZ93" s="456" t="s">
        <v>116</v>
      </c>
      <c r="NSA93" s="456" t="s">
        <v>116</v>
      </c>
      <c r="NSB93" s="456" t="s">
        <v>116</v>
      </c>
      <c r="NSC93" s="456" t="s">
        <v>116</v>
      </c>
      <c r="NSD93" s="456" t="s">
        <v>116</v>
      </c>
      <c r="NSE93" s="456" t="s">
        <v>116</v>
      </c>
      <c r="NSF93" s="456" t="s">
        <v>116</v>
      </c>
      <c r="NSG93" s="456" t="s">
        <v>116</v>
      </c>
      <c r="NSH93" s="456" t="s">
        <v>116</v>
      </c>
      <c r="NSI93" s="456" t="s">
        <v>116</v>
      </c>
      <c r="NSJ93" s="456" t="s">
        <v>116</v>
      </c>
      <c r="NSK93" s="456" t="s">
        <v>116</v>
      </c>
      <c r="NSL93" s="456" t="s">
        <v>116</v>
      </c>
      <c r="NSM93" s="456" t="s">
        <v>116</v>
      </c>
      <c r="NSN93" s="456" t="s">
        <v>116</v>
      </c>
      <c r="NSO93" s="456" t="s">
        <v>116</v>
      </c>
      <c r="NSP93" s="456" t="s">
        <v>116</v>
      </c>
      <c r="NSQ93" s="456" t="s">
        <v>116</v>
      </c>
      <c r="NSR93" s="456" t="s">
        <v>116</v>
      </c>
      <c r="NSS93" s="456" t="s">
        <v>116</v>
      </c>
      <c r="NST93" s="456" t="s">
        <v>116</v>
      </c>
      <c r="NSU93" s="456" t="s">
        <v>116</v>
      </c>
      <c r="NSV93" s="456" t="s">
        <v>116</v>
      </c>
      <c r="NSW93" s="456" t="s">
        <v>116</v>
      </c>
      <c r="NSX93" s="456" t="s">
        <v>116</v>
      </c>
      <c r="NSY93" s="456" t="s">
        <v>116</v>
      </c>
      <c r="NSZ93" s="456" t="s">
        <v>116</v>
      </c>
      <c r="NTA93" s="456" t="s">
        <v>116</v>
      </c>
      <c r="NTB93" s="456" t="s">
        <v>116</v>
      </c>
      <c r="NTC93" s="456" t="s">
        <v>116</v>
      </c>
      <c r="NTD93" s="456" t="s">
        <v>116</v>
      </c>
      <c r="NTE93" s="456" t="s">
        <v>116</v>
      </c>
      <c r="NTF93" s="456" t="s">
        <v>116</v>
      </c>
      <c r="NTG93" s="456" t="s">
        <v>116</v>
      </c>
      <c r="NTH93" s="456" t="s">
        <v>116</v>
      </c>
      <c r="NTI93" s="456" t="s">
        <v>116</v>
      </c>
      <c r="NTJ93" s="456" t="s">
        <v>116</v>
      </c>
      <c r="NTK93" s="456" t="s">
        <v>116</v>
      </c>
      <c r="NTL93" s="456" t="s">
        <v>116</v>
      </c>
      <c r="NTM93" s="456" t="s">
        <v>116</v>
      </c>
      <c r="NTN93" s="456" t="s">
        <v>116</v>
      </c>
      <c r="NTO93" s="456" t="s">
        <v>116</v>
      </c>
      <c r="NTP93" s="456" t="s">
        <v>116</v>
      </c>
      <c r="NTQ93" s="456" t="s">
        <v>116</v>
      </c>
      <c r="NTR93" s="456" t="s">
        <v>116</v>
      </c>
      <c r="NTS93" s="456" t="s">
        <v>116</v>
      </c>
      <c r="NTT93" s="456" t="s">
        <v>116</v>
      </c>
      <c r="NTU93" s="456" t="s">
        <v>116</v>
      </c>
      <c r="NTV93" s="456" t="s">
        <v>116</v>
      </c>
      <c r="NTW93" s="456" t="s">
        <v>116</v>
      </c>
      <c r="NTX93" s="456" t="s">
        <v>116</v>
      </c>
      <c r="NTY93" s="456" t="s">
        <v>116</v>
      </c>
      <c r="NTZ93" s="456" t="s">
        <v>116</v>
      </c>
      <c r="NUA93" s="456" t="s">
        <v>116</v>
      </c>
      <c r="NUB93" s="456" t="s">
        <v>116</v>
      </c>
      <c r="NUC93" s="456" t="s">
        <v>116</v>
      </c>
      <c r="NUD93" s="456" t="s">
        <v>116</v>
      </c>
      <c r="NUE93" s="456" t="s">
        <v>116</v>
      </c>
      <c r="NUF93" s="456" t="s">
        <v>116</v>
      </c>
      <c r="NUG93" s="456" t="s">
        <v>116</v>
      </c>
      <c r="NUH93" s="456" t="s">
        <v>116</v>
      </c>
      <c r="NUI93" s="456" t="s">
        <v>116</v>
      </c>
      <c r="NUJ93" s="456" t="s">
        <v>116</v>
      </c>
      <c r="NUK93" s="456" t="s">
        <v>116</v>
      </c>
      <c r="NUL93" s="456" t="s">
        <v>116</v>
      </c>
      <c r="NUM93" s="456" t="s">
        <v>116</v>
      </c>
      <c r="NUN93" s="456" t="s">
        <v>116</v>
      </c>
      <c r="NUO93" s="456" t="s">
        <v>116</v>
      </c>
      <c r="NUP93" s="456" t="s">
        <v>116</v>
      </c>
      <c r="NUQ93" s="456" t="s">
        <v>116</v>
      </c>
      <c r="NUR93" s="456" t="s">
        <v>116</v>
      </c>
      <c r="NUS93" s="456" t="s">
        <v>116</v>
      </c>
      <c r="NUT93" s="456" t="s">
        <v>116</v>
      </c>
      <c r="NUU93" s="456" t="s">
        <v>116</v>
      </c>
      <c r="NUV93" s="456" t="s">
        <v>116</v>
      </c>
      <c r="NUW93" s="456" t="s">
        <v>116</v>
      </c>
      <c r="NUX93" s="456" t="s">
        <v>116</v>
      </c>
      <c r="NUY93" s="456" t="s">
        <v>116</v>
      </c>
      <c r="NUZ93" s="456" t="s">
        <v>116</v>
      </c>
      <c r="NVA93" s="456" t="s">
        <v>116</v>
      </c>
      <c r="NVB93" s="456" t="s">
        <v>116</v>
      </c>
      <c r="NVC93" s="456" t="s">
        <v>116</v>
      </c>
      <c r="NVD93" s="456" t="s">
        <v>116</v>
      </c>
      <c r="NVE93" s="456" t="s">
        <v>116</v>
      </c>
      <c r="NVF93" s="456" t="s">
        <v>116</v>
      </c>
      <c r="NVG93" s="456" t="s">
        <v>116</v>
      </c>
      <c r="NVH93" s="456" t="s">
        <v>116</v>
      </c>
      <c r="NVI93" s="456" t="s">
        <v>116</v>
      </c>
      <c r="NVJ93" s="456" t="s">
        <v>116</v>
      </c>
      <c r="NVK93" s="456" t="s">
        <v>116</v>
      </c>
      <c r="NVL93" s="456" t="s">
        <v>116</v>
      </c>
      <c r="NVM93" s="456" t="s">
        <v>116</v>
      </c>
      <c r="NVN93" s="456" t="s">
        <v>116</v>
      </c>
      <c r="NVO93" s="456" t="s">
        <v>116</v>
      </c>
      <c r="NVP93" s="456" t="s">
        <v>116</v>
      </c>
      <c r="NVQ93" s="456" t="s">
        <v>116</v>
      </c>
      <c r="NVR93" s="456" t="s">
        <v>116</v>
      </c>
      <c r="NVS93" s="456" t="s">
        <v>116</v>
      </c>
      <c r="NVT93" s="456" t="s">
        <v>116</v>
      </c>
      <c r="NVU93" s="456" t="s">
        <v>116</v>
      </c>
      <c r="NVV93" s="456" t="s">
        <v>116</v>
      </c>
      <c r="NVW93" s="456" t="s">
        <v>116</v>
      </c>
      <c r="NVX93" s="456" t="s">
        <v>116</v>
      </c>
      <c r="NVY93" s="456" t="s">
        <v>116</v>
      </c>
      <c r="NVZ93" s="456" t="s">
        <v>116</v>
      </c>
      <c r="NWA93" s="456" t="s">
        <v>116</v>
      </c>
      <c r="NWB93" s="456" t="s">
        <v>116</v>
      </c>
      <c r="NWC93" s="456" t="s">
        <v>116</v>
      </c>
      <c r="NWD93" s="456" t="s">
        <v>116</v>
      </c>
      <c r="NWE93" s="456" t="s">
        <v>116</v>
      </c>
      <c r="NWF93" s="456" t="s">
        <v>116</v>
      </c>
      <c r="NWG93" s="456" t="s">
        <v>116</v>
      </c>
      <c r="NWH93" s="456" t="s">
        <v>116</v>
      </c>
      <c r="NWI93" s="456" t="s">
        <v>116</v>
      </c>
      <c r="NWJ93" s="456" t="s">
        <v>116</v>
      </c>
      <c r="NWK93" s="456" t="s">
        <v>116</v>
      </c>
      <c r="NWL93" s="456" t="s">
        <v>116</v>
      </c>
      <c r="NWM93" s="456" t="s">
        <v>116</v>
      </c>
      <c r="NWN93" s="456" t="s">
        <v>116</v>
      </c>
      <c r="NWO93" s="456" t="s">
        <v>116</v>
      </c>
      <c r="NWP93" s="456" t="s">
        <v>116</v>
      </c>
      <c r="NWQ93" s="456" t="s">
        <v>116</v>
      </c>
      <c r="NWR93" s="456" t="s">
        <v>116</v>
      </c>
      <c r="NWS93" s="456" t="s">
        <v>116</v>
      </c>
      <c r="NWT93" s="456" t="s">
        <v>116</v>
      </c>
      <c r="NWU93" s="456" t="s">
        <v>116</v>
      </c>
      <c r="NWV93" s="456" t="s">
        <v>116</v>
      </c>
      <c r="NWW93" s="456" t="s">
        <v>116</v>
      </c>
      <c r="NWX93" s="456" t="s">
        <v>116</v>
      </c>
      <c r="NWY93" s="456" t="s">
        <v>116</v>
      </c>
      <c r="NWZ93" s="456" t="s">
        <v>116</v>
      </c>
      <c r="NXA93" s="456" t="s">
        <v>116</v>
      </c>
      <c r="NXB93" s="456" t="s">
        <v>116</v>
      </c>
      <c r="NXC93" s="456" t="s">
        <v>116</v>
      </c>
      <c r="NXD93" s="456" t="s">
        <v>116</v>
      </c>
      <c r="NXE93" s="456" t="s">
        <v>116</v>
      </c>
      <c r="NXF93" s="456" t="s">
        <v>116</v>
      </c>
      <c r="NXG93" s="456" t="s">
        <v>116</v>
      </c>
      <c r="NXH93" s="456" t="s">
        <v>116</v>
      </c>
      <c r="NXI93" s="456" t="s">
        <v>116</v>
      </c>
      <c r="NXJ93" s="456" t="s">
        <v>116</v>
      </c>
      <c r="NXK93" s="456" t="s">
        <v>116</v>
      </c>
      <c r="NXL93" s="456" t="s">
        <v>116</v>
      </c>
      <c r="NXM93" s="456" t="s">
        <v>116</v>
      </c>
      <c r="NXN93" s="456" t="s">
        <v>116</v>
      </c>
      <c r="NXO93" s="456" t="s">
        <v>116</v>
      </c>
      <c r="NXP93" s="456" t="s">
        <v>116</v>
      </c>
      <c r="NXQ93" s="456" t="s">
        <v>116</v>
      </c>
      <c r="NXR93" s="456" t="s">
        <v>116</v>
      </c>
      <c r="NXS93" s="456" t="s">
        <v>116</v>
      </c>
      <c r="NXT93" s="456" t="s">
        <v>116</v>
      </c>
      <c r="NXU93" s="456" t="s">
        <v>116</v>
      </c>
      <c r="NXV93" s="456" t="s">
        <v>116</v>
      </c>
      <c r="NXW93" s="456" t="s">
        <v>116</v>
      </c>
      <c r="NXX93" s="456" t="s">
        <v>116</v>
      </c>
      <c r="NXY93" s="456" t="s">
        <v>116</v>
      </c>
      <c r="NXZ93" s="456" t="s">
        <v>116</v>
      </c>
      <c r="NYA93" s="456" t="s">
        <v>116</v>
      </c>
      <c r="NYB93" s="456" t="s">
        <v>116</v>
      </c>
      <c r="NYC93" s="456" t="s">
        <v>116</v>
      </c>
      <c r="NYD93" s="456" t="s">
        <v>116</v>
      </c>
      <c r="NYE93" s="456" t="s">
        <v>116</v>
      </c>
      <c r="NYF93" s="456" t="s">
        <v>116</v>
      </c>
      <c r="NYG93" s="456" t="s">
        <v>116</v>
      </c>
      <c r="NYH93" s="456" t="s">
        <v>116</v>
      </c>
      <c r="NYI93" s="456" t="s">
        <v>116</v>
      </c>
      <c r="NYJ93" s="456" t="s">
        <v>116</v>
      </c>
      <c r="NYK93" s="456" t="s">
        <v>116</v>
      </c>
      <c r="NYL93" s="456" t="s">
        <v>116</v>
      </c>
      <c r="NYM93" s="456" t="s">
        <v>116</v>
      </c>
      <c r="NYN93" s="456" t="s">
        <v>116</v>
      </c>
      <c r="NYO93" s="456" t="s">
        <v>116</v>
      </c>
      <c r="NYP93" s="456" t="s">
        <v>116</v>
      </c>
      <c r="NYQ93" s="456" t="s">
        <v>116</v>
      </c>
      <c r="NYR93" s="456" t="s">
        <v>116</v>
      </c>
      <c r="NYS93" s="456" t="s">
        <v>116</v>
      </c>
      <c r="NYT93" s="456" t="s">
        <v>116</v>
      </c>
      <c r="NYU93" s="456" t="s">
        <v>116</v>
      </c>
      <c r="NYV93" s="456" t="s">
        <v>116</v>
      </c>
      <c r="NYW93" s="456" t="s">
        <v>116</v>
      </c>
      <c r="NYX93" s="456" t="s">
        <v>116</v>
      </c>
      <c r="NYY93" s="456" t="s">
        <v>116</v>
      </c>
      <c r="NYZ93" s="456" t="s">
        <v>116</v>
      </c>
      <c r="NZA93" s="456" t="s">
        <v>116</v>
      </c>
      <c r="NZB93" s="456" t="s">
        <v>116</v>
      </c>
      <c r="NZC93" s="456" t="s">
        <v>116</v>
      </c>
      <c r="NZD93" s="456" t="s">
        <v>116</v>
      </c>
      <c r="NZE93" s="456" t="s">
        <v>116</v>
      </c>
      <c r="NZF93" s="456" t="s">
        <v>116</v>
      </c>
      <c r="NZG93" s="456" t="s">
        <v>116</v>
      </c>
      <c r="NZH93" s="456" t="s">
        <v>116</v>
      </c>
      <c r="NZI93" s="456" t="s">
        <v>116</v>
      </c>
      <c r="NZJ93" s="456" t="s">
        <v>116</v>
      </c>
      <c r="NZK93" s="456" t="s">
        <v>116</v>
      </c>
      <c r="NZL93" s="456" t="s">
        <v>116</v>
      </c>
      <c r="NZM93" s="456" t="s">
        <v>116</v>
      </c>
      <c r="NZN93" s="456" t="s">
        <v>116</v>
      </c>
      <c r="NZO93" s="456" t="s">
        <v>116</v>
      </c>
      <c r="NZP93" s="456" t="s">
        <v>116</v>
      </c>
      <c r="NZQ93" s="456" t="s">
        <v>116</v>
      </c>
      <c r="NZR93" s="456" t="s">
        <v>116</v>
      </c>
      <c r="NZS93" s="456" t="s">
        <v>116</v>
      </c>
      <c r="NZT93" s="456" t="s">
        <v>116</v>
      </c>
      <c r="NZU93" s="456" t="s">
        <v>116</v>
      </c>
      <c r="NZV93" s="456" t="s">
        <v>116</v>
      </c>
      <c r="NZW93" s="456" t="s">
        <v>116</v>
      </c>
      <c r="NZX93" s="456" t="s">
        <v>116</v>
      </c>
      <c r="NZY93" s="456" t="s">
        <v>116</v>
      </c>
      <c r="NZZ93" s="456" t="s">
        <v>116</v>
      </c>
      <c r="OAA93" s="456" t="s">
        <v>116</v>
      </c>
      <c r="OAB93" s="456" t="s">
        <v>116</v>
      </c>
      <c r="OAC93" s="456" t="s">
        <v>116</v>
      </c>
      <c r="OAD93" s="456" t="s">
        <v>116</v>
      </c>
      <c r="OAE93" s="456" t="s">
        <v>116</v>
      </c>
      <c r="OAF93" s="456" t="s">
        <v>116</v>
      </c>
      <c r="OAG93" s="456" t="s">
        <v>116</v>
      </c>
      <c r="OAH93" s="456" t="s">
        <v>116</v>
      </c>
      <c r="OAI93" s="456" t="s">
        <v>116</v>
      </c>
      <c r="OAJ93" s="456" t="s">
        <v>116</v>
      </c>
      <c r="OAK93" s="456" t="s">
        <v>116</v>
      </c>
      <c r="OAL93" s="456" t="s">
        <v>116</v>
      </c>
      <c r="OAM93" s="456" t="s">
        <v>116</v>
      </c>
      <c r="OAN93" s="456" t="s">
        <v>116</v>
      </c>
      <c r="OAO93" s="456" t="s">
        <v>116</v>
      </c>
      <c r="OAP93" s="456" t="s">
        <v>116</v>
      </c>
      <c r="OAQ93" s="456" t="s">
        <v>116</v>
      </c>
      <c r="OAR93" s="456" t="s">
        <v>116</v>
      </c>
      <c r="OAS93" s="456" t="s">
        <v>116</v>
      </c>
      <c r="OAT93" s="456" t="s">
        <v>116</v>
      </c>
      <c r="OAU93" s="456" t="s">
        <v>116</v>
      </c>
      <c r="OAV93" s="456" t="s">
        <v>116</v>
      </c>
      <c r="OAW93" s="456" t="s">
        <v>116</v>
      </c>
      <c r="OAX93" s="456" t="s">
        <v>116</v>
      </c>
      <c r="OAY93" s="456" t="s">
        <v>116</v>
      </c>
      <c r="OAZ93" s="456" t="s">
        <v>116</v>
      </c>
      <c r="OBA93" s="456" t="s">
        <v>116</v>
      </c>
      <c r="OBB93" s="456" t="s">
        <v>116</v>
      </c>
      <c r="OBC93" s="456" t="s">
        <v>116</v>
      </c>
      <c r="OBD93" s="456" t="s">
        <v>116</v>
      </c>
      <c r="OBE93" s="456" t="s">
        <v>116</v>
      </c>
      <c r="OBF93" s="456" t="s">
        <v>116</v>
      </c>
      <c r="OBG93" s="456" t="s">
        <v>116</v>
      </c>
      <c r="OBH93" s="456" t="s">
        <v>116</v>
      </c>
      <c r="OBI93" s="456" t="s">
        <v>116</v>
      </c>
      <c r="OBJ93" s="456" t="s">
        <v>116</v>
      </c>
      <c r="OBK93" s="456" t="s">
        <v>116</v>
      </c>
      <c r="OBL93" s="456" t="s">
        <v>116</v>
      </c>
      <c r="OBM93" s="456" t="s">
        <v>116</v>
      </c>
      <c r="OBN93" s="456" t="s">
        <v>116</v>
      </c>
      <c r="OBO93" s="456" t="s">
        <v>116</v>
      </c>
      <c r="OBP93" s="456" t="s">
        <v>116</v>
      </c>
      <c r="OBQ93" s="456" t="s">
        <v>116</v>
      </c>
      <c r="OBR93" s="456" t="s">
        <v>116</v>
      </c>
      <c r="OBS93" s="456" t="s">
        <v>116</v>
      </c>
      <c r="OBT93" s="456" t="s">
        <v>116</v>
      </c>
      <c r="OBU93" s="456" t="s">
        <v>116</v>
      </c>
      <c r="OBV93" s="456" t="s">
        <v>116</v>
      </c>
      <c r="OBW93" s="456" t="s">
        <v>116</v>
      </c>
      <c r="OBX93" s="456" t="s">
        <v>116</v>
      </c>
      <c r="OBY93" s="456" t="s">
        <v>116</v>
      </c>
      <c r="OBZ93" s="456" t="s">
        <v>116</v>
      </c>
      <c r="OCA93" s="456" t="s">
        <v>116</v>
      </c>
      <c r="OCB93" s="456" t="s">
        <v>116</v>
      </c>
      <c r="OCC93" s="456" t="s">
        <v>116</v>
      </c>
      <c r="OCD93" s="456" t="s">
        <v>116</v>
      </c>
      <c r="OCE93" s="456" t="s">
        <v>116</v>
      </c>
      <c r="OCF93" s="456" t="s">
        <v>116</v>
      </c>
      <c r="OCG93" s="456" t="s">
        <v>116</v>
      </c>
      <c r="OCH93" s="456" t="s">
        <v>116</v>
      </c>
      <c r="OCI93" s="456" t="s">
        <v>116</v>
      </c>
      <c r="OCJ93" s="456" t="s">
        <v>116</v>
      </c>
      <c r="OCK93" s="456" t="s">
        <v>116</v>
      </c>
      <c r="OCL93" s="456" t="s">
        <v>116</v>
      </c>
      <c r="OCM93" s="456" t="s">
        <v>116</v>
      </c>
      <c r="OCN93" s="456" t="s">
        <v>116</v>
      </c>
      <c r="OCO93" s="456" t="s">
        <v>116</v>
      </c>
      <c r="OCP93" s="456" t="s">
        <v>116</v>
      </c>
      <c r="OCQ93" s="456" t="s">
        <v>116</v>
      </c>
      <c r="OCR93" s="456" t="s">
        <v>116</v>
      </c>
      <c r="OCS93" s="456" t="s">
        <v>116</v>
      </c>
      <c r="OCT93" s="456" t="s">
        <v>116</v>
      </c>
      <c r="OCU93" s="456" t="s">
        <v>116</v>
      </c>
      <c r="OCV93" s="456" t="s">
        <v>116</v>
      </c>
      <c r="OCW93" s="456" t="s">
        <v>116</v>
      </c>
      <c r="OCX93" s="456" t="s">
        <v>116</v>
      </c>
      <c r="OCY93" s="456" t="s">
        <v>116</v>
      </c>
      <c r="OCZ93" s="456" t="s">
        <v>116</v>
      </c>
      <c r="ODA93" s="456" t="s">
        <v>116</v>
      </c>
      <c r="ODB93" s="456" t="s">
        <v>116</v>
      </c>
      <c r="ODC93" s="456" t="s">
        <v>116</v>
      </c>
      <c r="ODD93" s="456" t="s">
        <v>116</v>
      </c>
      <c r="ODE93" s="456" t="s">
        <v>116</v>
      </c>
      <c r="ODF93" s="456" t="s">
        <v>116</v>
      </c>
      <c r="ODG93" s="456" t="s">
        <v>116</v>
      </c>
      <c r="ODH93" s="456" t="s">
        <v>116</v>
      </c>
      <c r="ODI93" s="456" t="s">
        <v>116</v>
      </c>
      <c r="ODJ93" s="456" t="s">
        <v>116</v>
      </c>
      <c r="ODK93" s="456" t="s">
        <v>116</v>
      </c>
      <c r="ODL93" s="456" t="s">
        <v>116</v>
      </c>
      <c r="ODM93" s="456" t="s">
        <v>116</v>
      </c>
      <c r="ODN93" s="456" t="s">
        <v>116</v>
      </c>
      <c r="ODO93" s="456" t="s">
        <v>116</v>
      </c>
      <c r="ODP93" s="456" t="s">
        <v>116</v>
      </c>
      <c r="ODQ93" s="456" t="s">
        <v>116</v>
      </c>
      <c r="ODR93" s="456" t="s">
        <v>116</v>
      </c>
      <c r="ODS93" s="456" t="s">
        <v>116</v>
      </c>
      <c r="ODT93" s="456" t="s">
        <v>116</v>
      </c>
      <c r="ODU93" s="456" t="s">
        <v>116</v>
      </c>
      <c r="ODV93" s="456" t="s">
        <v>116</v>
      </c>
      <c r="ODW93" s="456" t="s">
        <v>116</v>
      </c>
      <c r="ODX93" s="456" t="s">
        <v>116</v>
      </c>
      <c r="ODY93" s="456" t="s">
        <v>116</v>
      </c>
      <c r="ODZ93" s="456" t="s">
        <v>116</v>
      </c>
      <c r="OEA93" s="456" t="s">
        <v>116</v>
      </c>
      <c r="OEB93" s="456" t="s">
        <v>116</v>
      </c>
      <c r="OEC93" s="456" t="s">
        <v>116</v>
      </c>
      <c r="OED93" s="456" t="s">
        <v>116</v>
      </c>
      <c r="OEE93" s="456" t="s">
        <v>116</v>
      </c>
      <c r="OEF93" s="456" t="s">
        <v>116</v>
      </c>
      <c r="OEG93" s="456" t="s">
        <v>116</v>
      </c>
      <c r="OEH93" s="456" t="s">
        <v>116</v>
      </c>
      <c r="OEI93" s="456" t="s">
        <v>116</v>
      </c>
      <c r="OEJ93" s="456" t="s">
        <v>116</v>
      </c>
      <c r="OEK93" s="456" t="s">
        <v>116</v>
      </c>
      <c r="OEL93" s="456" t="s">
        <v>116</v>
      </c>
      <c r="OEM93" s="456" t="s">
        <v>116</v>
      </c>
      <c r="OEN93" s="456" t="s">
        <v>116</v>
      </c>
      <c r="OEO93" s="456" t="s">
        <v>116</v>
      </c>
      <c r="OEP93" s="456" t="s">
        <v>116</v>
      </c>
      <c r="OEQ93" s="456" t="s">
        <v>116</v>
      </c>
      <c r="OER93" s="456" t="s">
        <v>116</v>
      </c>
      <c r="OES93" s="456" t="s">
        <v>116</v>
      </c>
      <c r="OET93" s="456" t="s">
        <v>116</v>
      </c>
      <c r="OEU93" s="456" t="s">
        <v>116</v>
      </c>
      <c r="OEV93" s="456" t="s">
        <v>116</v>
      </c>
      <c r="OEW93" s="456" t="s">
        <v>116</v>
      </c>
      <c r="OEX93" s="456" t="s">
        <v>116</v>
      </c>
      <c r="OEY93" s="456" t="s">
        <v>116</v>
      </c>
      <c r="OEZ93" s="456" t="s">
        <v>116</v>
      </c>
      <c r="OFA93" s="456" t="s">
        <v>116</v>
      </c>
      <c r="OFB93" s="456" t="s">
        <v>116</v>
      </c>
      <c r="OFC93" s="456" t="s">
        <v>116</v>
      </c>
      <c r="OFD93" s="456" t="s">
        <v>116</v>
      </c>
      <c r="OFE93" s="456" t="s">
        <v>116</v>
      </c>
      <c r="OFF93" s="456" t="s">
        <v>116</v>
      </c>
      <c r="OFG93" s="456" t="s">
        <v>116</v>
      </c>
      <c r="OFH93" s="456" t="s">
        <v>116</v>
      </c>
      <c r="OFI93" s="456" t="s">
        <v>116</v>
      </c>
      <c r="OFJ93" s="456" t="s">
        <v>116</v>
      </c>
      <c r="OFK93" s="456" t="s">
        <v>116</v>
      </c>
      <c r="OFL93" s="456" t="s">
        <v>116</v>
      </c>
      <c r="OFM93" s="456" t="s">
        <v>116</v>
      </c>
      <c r="OFN93" s="456" t="s">
        <v>116</v>
      </c>
      <c r="OFO93" s="456" t="s">
        <v>116</v>
      </c>
      <c r="OFP93" s="456" t="s">
        <v>116</v>
      </c>
      <c r="OFQ93" s="456" t="s">
        <v>116</v>
      </c>
      <c r="OFR93" s="456" t="s">
        <v>116</v>
      </c>
      <c r="OFS93" s="456" t="s">
        <v>116</v>
      </c>
      <c r="OFT93" s="456" t="s">
        <v>116</v>
      </c>
      <c r="OFU93" s="456" t="s">
        <v>116</v>
      </c>
      <c r="OFV93" s="456" t="s">
        <v>116</v>
      </c>
      <c r="OFW93" s="456" t="s">
        <v>116</v>
      </c>
      <c r="OFX93" s="456" t="s">
        <v>116</v>
      </c>
      <c r="OFY93" s="456" t="s">
        <v>116</v>
      </c>
      <c r="OFZ93" s="456" t="s">
        <v>116</v>
      </c>
      <c r="OGA93" s="456" t="s">
        <v>116</v>
      </c>
      <c r="OGB93" s="456" t="s">
        <v>116</v>
      </c>
      <c r="OGC93" s="456" t="s">
        <v>116</v>
      </c>
      <c r="OGD93" s="456" t="s">
        <v>116</v>
      </c>
      <c r="OGE93" s="456" t="s">
        <v>116</v>
      </c>
      <c r="OGF93" s="456" t="s">
        <v>116</v>
      </c>
      <c r="OGG93" s="456" t="s">
        <v>116</v>
      </c>
      <c r="OGH93" s="456" t="s">
        <v>116</v>
      </c>
      <c r="OGI93" s="456" t="s">
        <v>116</v>
      </c>
      <c r="OGJ93" s="456" t="s">
        <v>116</v>
      </c>
      <c r="OGK93" s="456" t="s">
        <v>116</v>
      </c>
      <c r="OGL93" s="456" t="s">
        <v>116</v>
      </c>
      <c r="OGM93" s="456" t="s">
        <v>116</v>
      </c>
      <c r="OGN93" s="456" t="s">
        <v>116</v>
      </c>
      <c r="OGO93" s="456" t="s">
        <v>116</v>
      </c>
      <c r="OGP93" s="456" t="s">
        <v>116</v>
      </c>
      <c r="OGQ93" s="456" t="s">
        <v>116</v>
      </c>
      <c r="OGR93" s="456" t="s">
        <v>116</v>
      </c>
      <c r="OGS93" s="456" t="s">
        <v>116</v>
      </c>
      <c r="OGT93" s="456" t="s">
        <v>116</v>
      </c>
      <c r="OGU93" s="456" t="s">
        <v>116</v>
      </c>
      <c r="OGV93" s="456" t="s">
        <v>116</v>
      </c>
      <c r="OGW93" s="456" t="s">
        <v>116</v>
      </c>
      <c r="OGX93" s="456" t="s">
        <v>116</v>
      </c>
      <c r="OGY93" s="456" t="s">
        <v>116</v>
      </c>
      <c r="OGZ93" s="456" t="s">
        <v>116</v>
      </c>
      <c r="OHA93" s="456" t="s">
        <v>116</v>
      </c>
      <c r="OHB93" s="456" t="s">
        <v>116</v>
      </c>
      <c r="OHC93" s="456" t="s">
        <v>116</v>
      </c>
      <c r="OHD93" s="456" t="s">
        <v>116</v>
      </c>
      <c r="OHE93" s="456" t="s">
        <v>116</v>
      </c>
      <c r="OHF93" s="456" t="s">
        <v>116</v>
      </c>
      <c r="OHG93" s="456" t="s">
        <v>116</v>
      </c>
      <c r="OHH93" s="456" t="s">
        <v>116</v>
      </c>
      <c r="OHI93" s="456" t="s">
        <v>116</v>
      </c>
      <c r="OHJ93" s="456" t="s">
        <v>116</v>
      </c>
      <c r="OHK93" s="456" t="s">
        <v>116</v>
      </c>
      <c r="OHL93" s="456" t="s">
        <v>116</v>
      </c>
      <c r="OHM93" s="456" t="s">
        <v>116</v>
      </c>
      <c r="OHN93" s="456" t="s">
        <v>116</v>
      </c>
      <c r="OHO93" s="456" t="s">
        <v>116</v>
      </c>
      <c r="OHP93" s="456" t="s">
        <v>116</v>
      </c>
      <c r="OHQ93" s="456" t="s">
        <v>116</v>
      </c>
      <c r="OHR93" s="456" t="s">
        <v>116</v>
      </c>
      <c r="OHS93" s="456" t="s">
        <v>116</v>
      </c>
      <c r="OHT93" s="456" t="s">
        <v>116</v>
      </c>
      <c r="OHU93" s="456" t="s">
        <v>116</v>
      </c>
      <c r="OHV93" s="456" t="s">
        <v>116</v>
      </c>
      <c r="OHW93" s="456" t="s">
        <v>116</v>
      </c>
      <c r="OHX93" s="456" t="s">
        <v>116</v>
      </c>
      <c r="OHY93" s="456" t="s">
        <v>116</v>
      </c>
      <c r="OHZ93" s="456" t="s">
        <v>116</v>
      </c>
      <c r="OIA93" s="456" t="s">
        <v>116</v>
      </c>
      <c r="OIB93" s="456" t="s">
        <v>116</v>
      </c>
      <c r="OIC93" s="456" t="s">
        <v>116</v>
      </c>
      <c r="OID93" s="456" t="s">
        <v>116</v>
      </c>
      <c r="OIE93" s="456" t="s">
        <v>116</v>
      </c>
      <c r="OIF93" s="456" t="s">
        <v>116</v>
      </c>
      <c r="OIG93" s="456" t="s">
        <v>116</v>
      </c>
      <c r="OIH93" s="456" t="s">
        <v>116</v>
      </c>
      <c r="OII93" s="456" t="s">
        <v>116</v>
      </c>
      <c r="OIJ93" s="456" t="s">
        <v>116</v>
      </c>
      <c r="OIK93" s="456" t="s">
        <v>116</v>
      </c>
      <c r="OIL93" s="456" t="s">
        <v>116</v>
      </c>
      <c r="OIM93" s="456" t="s">
        <v>116</v>
      </c>
      <c r="OIN93" s="456" t="s">
        <v>116</v>
      </c>
      <c r="OIO93" s="456" t="s">
        <v>116</v>
      </c>
      <c r="OIP93" s="456" t="s">
        <v>116</v>
      </c>
      <c r="OIQ93" s="456" t="s">
        <v>116</v>
      </c>
      <c r="OIR93" s="456" t="s">
        <v>116</v>
      </c>
      <c r="OIS93" s="456" t="s">
        <v>116</v>
      </c>
      <c r="OIT93" s="456" t="s">
        <v>116</v>
      </c>
      <c r="OIU93" s="456" t="s">
        <v>116</v>
      </c>
      <c r="OIV93" s="456" t="s">
        <v>116</v>
      </c>
      <c r="OIW93" s="456" t="s">
        <v>116</v>
      </c>
      <c r="OIX93" s="456" t="s">
        <v>116</v>
      </c>
      <c r="OIY93" s="456" t="s">
        <v>116</v>
      </c>
      <c r="OIZ93" s="456" t="s">
        <v>116</v>
      </c>
      <c r="OJA93" s="456" t="s">
        <v>116</v>
      </c>
      <c r="OJB93" s="456" t="s">
        <v>116</v>
      </c>
      <c r="OJC93" s="456" t="s">
        <v>116</v>
      </c>
      <c r="OJD93" s="456" t="s">
        <v>116</v>
      </c>
      <c r="OJE93" s="456" t="s">
        <v>116</v>
      </c>
      <c r="OJF93" s="456" t="s">
        <v>116</v>
      </c>
      <c r="OJG93" s="456" t="s">
        <v>116</v>
      </c>
      <c r="OJH93" s="456" t="s">
        <v>116</v>
      </c>
      <c r="OJI93" s="456" t="s">
        <v>116</v>
      </c>
      <c r="OJJ93" s="456" t="s">
        <v>116</v>
      </c>
      <c r="OJK93" s="456" t="s">
        <v>116</v>
      </c>
      <c r="OJL93" s="456" t="s">
        <v>116</v>
      </c>
      <c r="OJM93" s="456" t="s">
        <v>116</v>
      </c>
      <c r="OJN93" s="456" t="s">
        <v>116</v>
      </c>
      <c r="OJO93" s="456" t="s">
        <v>116</v>
      </c>
      <c r="OJP93" s="456" t="s">
        <v>116</v>
      </c>
      <c r="OJQ93" s="456" t="s">
        <v>116</v>
      </c>
      <c r="OJR93" s="456" t="s">
        <v>116</v>
      </c>
      <c r="OJS93" s="456" t="s">
        <v>116</v>
      </c>
      <c r="OJT93" s="456" t="s">
        <v>116</v>
      </c>
      <c r="OJU93" s="456" t="s">
        <v>116</v>
      </c>
      <c r="OJV93" s="456" t="s">
        <v>116</v>
      </c>
      <c r="OJW93" s="456" t="s">
        <v>116</v>
      </c>
      <c r="OJX93" s="456" t="s">
        <v>116</v>
      </c>
      <c r="OJY93" s="456" t="s">
        <v>116</v>
      </c>
      <c r="OJZ93" s="456" t="s">
        <v>116</v>
      </c>
      <c r="OKA93" s="456" t="s">
        <v>116</v>
      </c>
      <c r="OKB93" s="456" t="s">
        <v>116</v>
      </c>
      <c r="OKC93" s="456" t="s">
        <v>116</v>
      </c>
      <c r="OKD93" s="456" t="s">
        <v>116</v>
      </c>
      <c r="OKE93" s="456" t="s">
        <v>116</v>
      </c>
      <c r="OKF93" s="456" t="s">
        <v>116</v>
      </c>
      <c r="OKG93" s="456" t="s">
        <v>116</v>
      </c>
      <c r="OKH93" s="456" t="s">
        <v>116</v>
      </c>
      <c r="OKI93" s="456" t="s">
        <v>116</v>
      </c>
      <c r="OKJ93" s="456" t="s">
        <v>116</v>
      </c>
      <c r="OKK93" s="456" t="s">
        <v>116</v>
      </c>
      <c r="OKL93" s="456" t="s">
        <v>116</v>
      </c>
      <c r="OKM93" s="456" t="s">
        <v>116</v>
      </c>
      <c r="OKN93" s="456" t="s">
        <v>116</v>
      </c>
      <c r="OKO93" s="456" t="s">
        <v>116</v>
      </c>
      <c r="OKP93" s="456" t="s">
        <v>116</v>
      </c>
      <c r="OKQ93" s="456" t="s">
        <v>116</v>
      </c>
      <c r="OKR93" s="456" t="s">
        <v>116</v>
      </c>
      <c r="OKS93" s="456" t="s">
        <v>116</v>
      </c>
      <c r="OKT93" s="456" t="s">
        <v>116</v>
      </c>
      <c r="OKU93" s="456" t="s">
        <v>116</v>
      </c>
      <c r="OKV93" s="456" t="s">
        <v>116</v>
      </c>
      <c r="OKW93" s="456" t="s">
        <v>116</v>
      </c>
      <c r="OKX93" s="456" t="s">
        <v>116</v>
      </c>
      <c r="OKY93" s="456" t="s">
        <v>116</v>
      </c>
      <c r="OKZ93" s="456" t="s">
        <v>116</v>
      </c>
      <c r="OLA93" s="456" t="s">
        <v>116</v>
      </c>
      <c r="OLB93" s="456" t="s">
        <v>116</v>
      </c>
      <c r="OLC93" s="456" t="s">
        <v>116</v>
      </c>
      <c r="OLD93" s="456" t="s">
        <v>116</v>
      </c>
      <c r="OLE93" s="456" t="s">
        <v>116</v>
      </c>
      <c r="OLF93" s="456" t="s">
        <v>116</v>
      </c>
      <c r="OLG93" s="456" t="s">
        <v>116</v>
      </c>
      <c r="OLH93" s="456" t="s">
        <v>116</v>
      </c>
      <c r="OLI93" s="456" t="s">
        <v>116</v>
      </c>
      <c r="OLJ93" s="456" t="s">
        <v>116</v>
      </c>
      <c r="OLK93" s="456" t="s">
        <v>116</v>
      </c>
      <c r="OLL93" s="456" t="s">
        <v>116</v>
      </c>
      <c r="OLM93" s="456" t="s">
        <v>116</v>
      </c>
      <c r="OLN93" s="456" t="s">
        <v>116</v>
      </c>
      <c r="OLO93" s="456" t="s">
        <v>116</v>
      </c>
      <c r="OLP93" s="456" t="s">
        <v>116</v>
      </c>
      <c r="OLQ93" s="456" t="s">
        <v>116</v>
      </c>
      <c r="OLR93" s="456" t="s">
        <v>116</v>
      </c>
      <c r="OLS93" s="456" t="s">
        <v>116</v>
      </c>
      <c r="OLT93" s="456" t="s">
        <v>116</v>
      </c>
      <c r="OLU93" s="456" t="s">
        <v>116</v>
      </c>
      <c r="OLV93" s="456" t="s">
        <v>116</v>
      </c>
      <c r="OLW93" s="456" t="s">
        <v>116</v>
      </c>
      <c r="OLX93" s="456" t="s">
        <v>116</v>
      </c>
      <c r="OLY93" s="456" t="s">
        <v>116</v>
      </c>
      <c r="OLZ93" s="456" t="s">
        <v>116</v>
      </c>
      <c r="OMA93" s="456" t="s">
        <v>116</v>
      </c>
      <c r="OMB93" s="456" t="s">
        <v>116</v>
      </c>
      <c r="OMC93" s="456" t="s">
        <v>116</v>
      </c>
      <c r="OMD93" s="456" t="s">
        <v>116</v>
      </c>
      <c r="OME93" s="456" t="s">
        <v>116</v>
      </c>
      <c r="OMF93" s="456" t="s">
        <v>116</v>
      </c>
      <c r="OMG93" s="456" t="s">
        <v>116</v>
      </c>
      <c r="OMH93" s="456" t="s">
        <v>116</v>
      </c>
      <c r="OMI93" s="456" t="s">
        <v>116</v>
      </c>
      <c r="OMJ93" s="456" t="s">
        <v>116</v>
      </c>
      <c r="OMK93" s="456" t="s">
        <v>116</v>
      </c>
      <c r="OML93" s="456" t="s">
        <v>116</v>
      </c>
      <c r="OMM93" s="456" t="s">
        <v>116</v>
      </c>
      <c r="OMN93" s="456" t="s">
        <v>116</v>
      </c>
      <c r="OMO93" s="456" t="s">
        <v>116</v>
      </c>
      <c r="OMP93" s="456" t="s">
        <v>116</v>
      </c>
      <c r="OMQ93" s="456" t="s">
        <v>116</v>
      </c>
      <c r="OMR93" s="456" t="s">
        <v>116</v>
      </c>
      <c r="OMS93" s="456" t="s">
        <v>116</v>
      </c>
      <c r="OMT93" s="456" t="s">
        <v>116</v>
      </c>
      <c r="OMU93" s="456" t="s">
        <v>116</v>
      </c>
      <c r="OMV93" s="456" t="s">
        <v>116</v>
      </c>
      <c r="OMW93" s="456" t="s">
        <v>116</v>
      </c>
      <c r="OMX93" s="456" t="s">
        <v>116</v>
      </c>
      <c r="OMY93" s="456" t="s">
        <v>116</v>
      </c>
      <c r="OMZ93" s="456" t="s">
        <v>116</v>
      </c>
      <c r="ONA93" s="456" t="s">
        <v>116</v>
      </c>
      <c r="ONB93" s="456" t="s">
        <v>116</v>
      </c>
      <c r="ONC93" s="456" t="s">
        <v>116</v>
      </c>
      <c r="OND93" s="456" t="s">
        <v>116</v>
      </c>
      <c r="ONE93" s="456" t="s">
        <v>116</v>
      </c>
      <c r="ONF93" s="456" t="s">
        <v>116</v>
      </c>
      <c r="ONG93" s="456" t="s">
        <v>116</v>
      </c>
      <c r="ONH93" s="456" t="s">
        <v>116</v>
      </c>
      <c r="ONI93" s="456" t="s">
        <v>116</v>
      </c>
      <c r="ONJ93" s="456" t="s">
        <v>116</v>
      </c>
      <c r="ONK93" s="456" t="s">
        <v>116</v>
      </c>
      <c r="ONL93" s="456" t="s">
        <v>116</v>
      </c>
      <c r="ONM93" s="456" t="s">
        <v>116</v>
      </c>
      <c r="ONN93" s="456" t="s">
        <v>116</v>
      </c>
      <c r="ONO93" s="456" t="s">
        <v>116</v>
      </c>
      <c r="ONP93" s="456" t="s">
        <v>116</v>
      </c>
      <c r="ONQ93" s="456" t="s">
        <v>116</v>
      </c>
      <c r="ONR93" s="456" t="s">
        <v>116</v>
      </c>
      <c r="ONS93" s="456" t="s">
        <v>116</v>
      </c>
      <c r="ONT93" s="456" t="s">
        <v>116</v>
      </c>
      <c r="ONU93" s="456" t="s">
        <v>116</v>
      </c>
      <c r="ONV93" s="456" t="s">
        <v>116</v>
      </c>
      <c r="ONW93" s="456" t="s">
        <v>116</v>
      </c>
      <c r="ONX93" s="456" t="s">
        <v>116</v>
      </c>
      <c r="ONY93" s="456" t="s">
        <v>116</v>
      </c>
      <c r="ONZ93" s="456" t="s">
        <v>116</v>
      </c>
      <c r="OOA93" s="456" t="s">
        <v>116</v>
      </c>
      <c r="OOB93" s="456" t="s">
        <v>116</v>
      </c>
      <c r="OOC93" s="456" t="s">
        <v>116</v>
      </c>
      <c r="OOD93" s="456" t="s">
        <v>116</v>
      </c>
      <c r="OOE93" s="456" t="s">
        <v>116</v>
      </c>
      <c r="OOF93" s="456" t="s">
        <v>116</v>
      </c>
      <c r="OOG93" s="456" t="s">
        <v>116</v>
      </c>
      <c r="OOH93" s="456" t="s">
        <v>116</v>
      </c>
      <c r="OOI93" s="456" t="s">
        <v>116</v>
      </c>
      <c r="OOJ93" s="456" t="s">
        <v>116</v>
      </c>
      <c r="OOK93" s="456" t="s">
        <v>116</v>
      </c>
      <c r="OOL93" s="456" t="s">
        <v>116</v>
      </c>
      <c r="OOM93" s="456" t="s">
        <v>116</v>
      </c>
      <c r="OON93" s="456" t="s">
        <v>116</v>
      </c>
      <c r="OOO93" s="456" t="s">
        <v>116</v>
      </c>
      <c r="OOP93" s="456" t="s">
        <v>116</v>
      </c>
      <c r="OOQ93" s="456" t="s">
        <v>116</v>
      </c>
      <c r="OOR93" s="456" t="s">
        <v>116</v>
      </c>
      <c r="OOS93" s="456" t="s">
        <v>116</v>
      </c>
      <c r="OOT93" s="456" t="s">
        <v>116</v>
      </c>
      <c r="OOU93" s="456" t="s">
        <v>116</v>
      </c>
      <c r="OOV93" s="456" t="s">
        <v>116</v>
      </c>
      <c r="OOW93" s="456" t="s">
        <v>116</v>
      </c>
      <c r="OOX93" s="456" t="s">
        <v>116</v>
      </c>
      <c r="OOY93" s="456" t="s">
        <v>116</v>
      </c>
      <c r="OOZ93" s="456" t="s">
        <v>116</v>
      </c>
      <c r="OPA93" s="456" t="s">
        <v>116</v>
      </c>
      <c r="OPB93" s="456" t="s">
        <v>116</v>
      </c>
      <c r="OPC93" s="456" t="s">
        <v>116</v>
      </c>
      <c r="OPD93" s="456" t="s">
        <v>116</v>
      </c>
      <c r="OPE93" s="456" t="s">
        <v>116</v>
      </c>
      <c r="OPF93" s="456" t="s">
        <v>116</v>
      </c>
      <c r="OPG93" s="456" t="s">
        <v>116</v>
      </c>
      <c r="OPH93" s="456" t="s">
        <v>116</v>
      </c>
      <c r="OPI93" s="456" t="s">
        <v>116</v>
      </c>
      <c r="OPJ93" s="456" t="s">
        <v>116</v>
      </c>
      <c r="OPK93" s="456" t="s">
        <v>116</v>
      </c>
      <c r="OPL93" s="456" t="s">
        <v>116</v>
      </c>
      <c r="OPM93" s="456" t="s">
        <v>116</v>
      </c>
      <c r="OPN93" s="456" t="s">
        <v>116</v>
      </c>
      <c r="OPO93" s="456" t="s">
        <v>116</v>
      </c>
      <c r="OPP93" s="456" t="s">
        <v>116</v>
      </c>
      <c r="OPQ93" s="456" t="s">
        <v>116</v>
      </c>
      <c r="OPR93" s="456" t="s">
        <v>116</v>
      </c>
      <c r="OPS93" s="456" t="s">
        <v>116</v>
      </c>
      <c r="OPT93" s="456" t="s">
        <v>116</v>
      </c>
      <c r="OPU93" s="456" t="s">
        <v>116</v>
      </c>
      <c r="OPV93" s="456" t="s">
        <v>116</v>
      </c>
      <c r="OPW93" s="456" t="s">
        <v>116</v>
      </c>
      <c r="OPX93" s="456" t="s">
        <v>116</v>
      </c>
      <c r="OPY93" s="456" t="s">
        <v>116</v>
      </c>
      <c r="OPZ93" s="456" t="s">
        <v>116</v>
      </c>
      <c r="OQA93" s="456" t="s">
        <v>116</v>
      </c>
      <c r="OQB93" s="456" t="s">
        <v>116</v>
      </c>
      <c r="OQC93" s="456" t="s">
        <v>116</v>
      </c>
      <c r="OQD93" s="456" t="s">
        <v>116</v>
      </c>
      <c r="OQE93" s="456" t="s">
        <v>116</v>
      </c>
      <c r="OQF93" s="456" t="s">
        <v>116</v>
      </c>
      <c r="OQG93" s="456" t="s">
        <v>116</v>
      </c>
      <c r="OQH93" s="456" t="s">
        <v>116</v>
      </c>
      <c r="OQI93" s="456" t="s">
        <v>116</v>
      </c>
      <c r="OQJ93" s="456" t="s">
        <v>116</v>
      </c>
      <c r="OQK93" s="456" t="s">
        <v>116</v>
      </c>
      <c r="OQL93" s="456" t="s">
        <v>116</v>
      </c>
      <c r="OQM93" s="456" t="s">
        <v>116</v>
      </c>
      <c r="OQN93" s="456" t="s">
        <v>116</v>
      </c>
      <c r="OQO93" s="456" t="s">
        <v>116</v>
      </c>
      <c r="OQP93" s="456" t="s">
        <v>116</v>
      </c>
      <c r="OQQ93" s="456" t="s">
        <v>116</v>
      </c>
      <c r="OQR93" s="456" t="s">
        <v>116</v>
      </c>
      <c r="OQS93" s="456" t="s">
        <v>116</v>
      </c>
      <c r="OQT93" s="456" t="s">
        <v>116</v>
      </c>
      <c r="OQU93" s="456" t="s">
        <v>116</v>
      </c>
      <c r="OQV93" s="456" t="s">
        <v>116</v>
      </c>
      <c r="OQW93" s="456" t="s">
        <v>116</v>
      </c>
      <c r="OQX93" s="456" t="s">
        <v>116</v>
      </c>
      <c r="OQY93" s="456" t="s">
        <v>116</v>
      </c>
      <c r="OQZ93" s="456" t="s">
        <v>116</v>
      </c>
      <c r="ORA93" s="456" t="s">
        <v>116</v>
      </c>
      <c r="ORB93" s="456" t="s">
        <v>116</v>
      </c>
      <c r="ORC93" s="456" t="s">
        <v>116</v>
      </c>
      <c r="ORD93" s="456" t="s">
        <v>116</v>
      </c>
      <c r="ORE93" s="456" t="s">
        <v>116</v>
      </c>
      <c r="ORF93" s="456" t="s">
        <v>116</v>
      </c>
      <c r="ORG93" s="456" t="s">
        <v>116</v>
      </c>
      <c r="ORH93" s="456" t="s">
        <v>116</v>
      </c>
      <c r="ORI93" s="456" t="s">
        <v>116</v>
      </c>
      <c r="ORJ93" s="456" t="s">
        <v>116</v>
      </c>
      <c r="ORK93" s="456" t="s">
        <v>116</v>
      </c>
      <c r="ORL93" s="456" t="s">
        <v>116</v>
      </c>
      <c r="ORM93" s="456" t="s">
        <v>116</v>
      </c>
      <c r="ORN93" s="456" t="s">
        <v>116</v>
      </c>
      <c r="ORO93" s="456" t="s">
        <v>116</v>
      </c>
      <c r="ORP93" s="456" t="s">
        <v>116</v>
      </c>
      <c r="ORQ93" s="456" t="s">
        <v>116</v>
      </c>
      <c r="ORR93" s="456" t="s">
        <v>116</v>
      </c>
      <c r="ORS93" s="456" t="s">
        <v>116</v>
      </c>
      <c r="ORT93" s="456" t="s">
        <v>116</v>
      </c>
      <c r="ORU93" s="456" t="s">
        <v>116</v>
      </c>
      <c r="ORV93" s="456" t="s">
        <v>116</v>
      </c>
      <c r="ORW93" s="456" t="s">
        <v>116</v>
      </c>
      <c r="ORX93" s="456" t="s">
        <v>116</v>
      </c>
      <c r="ORY93" s="456" t="s">
        <v>116</v>
      </c>
      <c r="ORZ93" s="456" t="s">
        <v>116</v>
      </c>
      <c r="OSA93" s="456" t="s">
        <v>116</v>
      </c>
      <c r="OSB93" s="456" t="s">
        <v>116</v>
      </c>
      <c r="OSC93" s="456" t="s">
        <v>116</v>
      </c>
      <c r="OSD93" s="456" t="s">
        <v>116</v>
      </c>
      <c r="OSE93" s="456" t="s">
        <v>116</v>
      </c>
      <c r="OSF93" s="456" t="s">
        <v>116</v>
      </c>
      <c r="OSG93" s="456" t="s">
        <v>116</v>
      </c>
      <c r="OSH93" s="456" t="s">
        <v>116</v>
      </c>
      <c r="OSI93" s="456" t="s">
        <v>116</v>
      </c>
      <c r="OSJ93" s="456" t="s">
        <v>116</v>
      </c>
      <c r="OSK93" s="456" t="s">
        <v>116</v>
      </c>
      <c r="OSL93" s="456" t="s">
        <v>116</v>
      </c>
      <c r="OSM93" s="456" t="s">
        <v>116</v>
      </c>
      <c r="OSN93" s="456" t="s">
        <v>116</v>
      </c>
      <c r="OSO93" s="456" t="s">
        <v>116</v>
      </c>
      <c r="OSP93" s="456" t="s">
        <v>116</v>
      </c>
      <c r="OSQ93" s="456" t="s">
        <v>116</v>
      </c>
      <c r="OSR93" s="456" t="s">
        <v>116</v>
      </c>
      <c r="OSS93" s="456" t="s">
        <v>116</v>
      </c>
      <c r="OST93" s="456" t="s">
        <v>116</v>
      </c>
      <c r="OSU93" s="456" t="s">
        <v>116</v>
      </c>
      <c r="OSV93" s="456" t="s">
        <v>116</v>
      </c>
      <c r="OSW93" s="456" t="s">
        <v>116</v>
      </c>
      <c r="OSX93" s="456" t="s">
        <v>116</v>
      </c>
      <c r="OSY93" s="456" t="s">
        <v>116</v>
      </c>
      <c r="OSZ93" s="456" t="s">
        <v>116</v>
      </c>
      <c r="OTA93" s="456" t="s">
        <v>116</v>
      </c>
      <c r="OTB93" s="456" t="s">
        <v>116</v>
      </c>
      <c r="OTC93" s="456" t="s">
        <v>116</v>
      </c>
      <c r="OTD93" s="456" t="s">
        <v>116</v>
      </c>
      <c r="OTE93" s="456" t="s">
        <v>116</v>
      </c>
      <c r="OTF93" s="456" t="s">
        <v>116</v>
      </c>
      <c r="OTG93" s="456" t="s">
        <v>116</v>
      </c>
      <c r="OTH93" s="456" t="s">
        <v>116</v>
      </c>
      <c r="OTI93" s="456" t="s">
        <v>116</v>
      </c>
      <c r="OTJ93" s="456" t="s">
        <v>116</v>
      </c>
      <c r="OTK93" s="456" t="s">
        <v>116</v>
      </c>
      <c r="OTL93" s="456" t="s">
        <v>116</v>
      </c>
      <c r="OTM93" s="456" t="s">
        <v>116</v>
      </c>
      <c r="OTN93" s="456" t="s">
        <v>116</v>
      </c>
      <c r="OTO93" s="456" t="s">
        <v>116</v>
      </c>
      <c r="OTP93" s="456" t="s">
        <v>116</v>
      </c>
      <c r="OTQ93" s="456" t="s">
        <v>116</v>
      </c>
      <c r="OTR93" s="456" t="s">
        <v>116</v>
      </c>
      <c r="OTS93" s="456" t="s">
        <v>116</v>
      </c>
      <c r="OTT93" s="456" t="s">
        <v>116</v>
      </c>
      <c r="OTU93" s="456" t="s">
        <v>116</v>
      </c>
      <c r="OTV93" s="456" t="s">
        <v>116</v>
      </c>
      <c r="OTW93" s="456" t="s">
        <v>116</v>
      </c>
      <c r="OTX93" s="456" t="s">
        <v>116</v>
      </c>
      <c r="OTY93" s="456" t="s">
        <v>116</v>
      </c>
      <c r="OTZ93" s="456" t="s">
        <v>116</v>
      </c>
      <c r="OUA93" s="456" t="s">
        <v>116</v>
      </c>
      <c r="OUB93" s="456" t="s">
        <v>116</v>
      </c>
      <c r="OUC93" s="456" t="s">
        <v>116</v>
      </c>
      <c r="OUD93" s="456" t="s">
        <v>116</v>
      </c>
      <c r="OUE93" s="456" t="s">
        <v>116</v>
      </c>
      <c r="OUF93" s="456" t="s">
        <v>116</v>
      </c>
      <c r="OUG93" s="456" t="s">
        <v>116</v>
      </c>
      <c r="OUH93" s="456" t="s">
        <v>116</v>
      </c>
      <c r="OUI93" s="456" t="s">
        <v>116</v>
      </c>
      <c r="OUJ93" s="456" t="s">
        <v>116</v>
      </c>
      <c r="OUK93" s="456" t="s">
        <v>116</v>
      </c>
      <c r="OUL93" s="456" t="s">
        <v>116</v>
      </c>
      <c r="OUM93" s="456" t="s">
        <v>116</v>
      </c>
      <c r="OUN93" s="456" t="s">
        <v>116</v>
      </c>
      <c r="OUO93" s="456" t="s">
        <v>116</v>
      </c>
      <c r="OUP93" s="456" t="s">
        <v>116</v>
      </c>
      <c r="OUQ93" s="456" t="s">
        <v>116</v>
      </c>
      <c r="OUR93" s="456" t="s">
        <v>116</v>
      </c>
      <c r="OUS93" s="456" t="s">
        <v>116</v>
      </c>
      <c r="OUT93" s="456" t="s">
        <v>116</v>
      </c>
      <c r="OUU93" s="456" t="s">
        <v>116</v>
      </c>
      <c r="OUV93" s="456" t="s">
        <v>116</v>
      </c>
      <c r="OUW93" s="456" t="s">
        <v>116</v>
      </c>
      <c r="OUX93" s="456" t="s">
        <v>116</v>
      </c>
      <c r="OUY93" s="456" t="s">
        <v>116</v>
      </c>
      <c r="OUZ93" s="456" t="s">
        <v>116</v>
      </c>
      <c r="OVA93" s="456" t="s">
        <v>116</v>
      </c>
      <c r="OVB93" s="456" t="s">
        <v>116</v>
      </c>
      <c r="OVC93" s="456" t="s">
        <v>116</v>
      </c>
      <c r="OVD93" s="456" t="s">
        <v>116</v>
      </c>
      <c r="OVE93" s="456" t="s">
        <v>116</v>
      </c>
      <c r="OVF93" s="456" t="s">
        <v>116</v>
      </c>
      <c r="OVG93" s="456" t="s">
        <v>116</v>
      </c>
      <c r="OVH93" s="456" t="s">
        <v>116</v>
      </c>
      <c r="OVI93" s="456" t="s">
        <v>116</v>
      </c>
      <c r="OVJ93" s="456" t="s">
        <v>116</v>
      </c>
      <c r="OVK93" s="456" t="s">
        <v>116</v>
      </c>
      <c r="OVL93" s="456" t="s">
        <v>116</v>
      </c>
      <c r="OVM93" s="456" t="s">
        <v>116</v>
      </c>
      <c r="OVN93" s="456" t="s">
        <v>116</v>
      </c>
      <c r="OVO93" s="456" t="s">
        <v>116</v>
      </c>
      <c r="OVP93" s="456" t="s">
        <v>116</v>
      </c>
      <c r="OVQ93" s="456" t="s">
        <v>116</v>
      </c>
      <c r="OVR93" s="456" t="s">
        <v>116</v>
      </c>
      <c r="OVS93" s="456" t="s">
        <v>116</v>
      </c>
      <c r="OVT93" s="456" t="s">
        <v>116</v>
      </c>
      <c r="OVU93" s="456" t="s">
        <v>116</v>
      </c>
      <c r="OVV93" s="456" t="s">
        <v>116</v>
      </c>
      <c r="OVW93" s="456" t="s">
        <v>116</v>
      </c>
      <c r="OVX93" s="456" t="s">
        <v>116</v>
      </c>
      <c r="OVY93" s="456" t="s">
        <v>116</v>
      </c>
      <c r="OVZ93" s="456" t="s">
        <v>116</v>
      </c>
      <c r="OWA93" s="456" t="s">
        <v>116</v>
      </c>
      <c r="OWB93" s="456" t="s">
        <v>116</v>
      </c>
      <c r="OWC93" s="456" t="s">
        <v>116</v>
      </c>
      <c r="OWD93" s="456" t="s">
        <v>116</v>
      </c>
      <c r="OWE93" s="456" t="s">
        <v>116</v>
      </c>
      <c r="OWF93" s="456" t="s">
        <v>116</v>
      </c>
      <c r="OWG93" s="456" t="s">
        <v>116</v>
      </c>
      <c r="OWH93" s="456" t="s">
        <v>116</v>
      </c>
      <c r="OWI93" s="456" t="s">
        <v>116</v>
      </c>
      <c r="OWJ93" s="456" t="s">
        <v>116</v>
      </c>
      <c r="OWK93" s="456" t="s">
        <v>116</v>
      </c>
      <c r="OWL93" s="456" t="s">
        <v>116</v>
      </c>
      <c r="OWM93" s="456" t="s">
        <v>116</v>
      </c>
      <c r="OWN93" s="456" t="s">
        <v>116</v>
      </c>
      <c r="OWO93" s="456" t="s">
        <v>116</v>
      </c>
      <c r="OWP93" s="456" t="s">
        <v>116</v>
      </c>
      <c r="OWQ93" s="456" t="s">
        <v>116</v>
      </c>
      <c r="OWR93" s="456" t="s">
        <v>116</v>
      </c>
      <c r="OWS93" s="456" t="s">
        <v>116</v>
      </c>
      <c r="OWT93" s="456" t="s">
        <v>116</v>
      </c>
      <c r="OWU93" s="456" t="s">
        <v>116</v>
      </c>
      <c r="OWV93" s="456" t="s">
        <v>116</v>
      </c>
      <c r="OWW93" s="456" t="s">
        <v>116</v>
      </c>
      <c r="OWX93" s="456" t="s">
        <v>116</v>
      </c>
      <c r="OWY93" s="456" t="s">
        <v>116</v>
      </c>
      <c r="OWZ93" s="456" t="s">
        <v>116</v>
      </c>
      <c r="OXA93" s="456" t="s">
        <v>116</v>
      </c>
      <c r="OXB93" s="456" t="s">
        <v>116</v>
      </c>
      <c r="OXC93" s="456" t="s">
        <v>116</v>
      </c>
      <c r="OXD93" s="456" t="s">
        <v>116</v>
      </c>
      <c r="OXE93" s="456" t="s">
        <v>116</v>
      </c>
      <c r="OXF93" s="456" t="s">
        <v>116</v>
      </c>
      <c r="OXG93" s="456" t="s">
        <v>116</v>
      </c>
      <c r="OXH93" s="456" t="s">
        <v>116</v>
      </c>
      <c r="OXI93" s="456" t="s">
        <v>116</v>
      </c>
      <c r="OXJ93" s="456" t="s">
        <v>116</v>
      </c>
      <c r="OXK93" s="456" t="s">
        <v>116</v>
      </c>
      <c r="OXL93" s="456" t="s">
        <v>116</v>
      </c>
      <c r="OXM93" s="456" t="s">
        <v>116</v>
      </c>
      <c r="OXN93" s="456" t="s">
        <v>116</v>
      </c>
      <c r="OXO93" s="456" t="s">
        <v>116</v>
      </c>
      <c r="OXP93" s="456" t="s">
        <v>116</v>
      </c>
      <c r="OXQ93" s="456" t="s">
        <v>116</v>
      </c>
      <c r="OXR93" s="456" t="s">
        <v>116</v>
      </c>
      <c r="OXS93" s="456" t="s">
        <v>116</v>
      </c>
      <c r="OXT93" s="456" t="s">
        <v>116</v>
      </c>
      <c r="OXU93" s="456" t="s">
        <v>116</v>
      </c>
      <c r="OXV93" s="456" t="s">
        <v>116</v>
      </c>
      <c r="OXW93" s="456" t="s">
        <v>116</v>
      </c>
      <c r="OXX93" s="456" t="s">
        <v>116</v>
      </c>
      <c r="OXY93" s="456" t="s">
        <v>116</v>
      </c>
      <c r="OXZ93" s="456" t="s">
        <v>116</v>
      </c>
      <c r="OYA93" s="456" t="s">
        <v>116</v>
      </c>
      <c r="OYB93" s="456" t="s">
        <v>116</v>
      </c>
      <c r="OYC93" s="456" t="s">
        <v>116</v>
      </c>
      <c r="OYD93" s="456" t="s">
        <v>116</v>
      </c>
      <c r="OYE93" s="456" t="s">
        <v>116</v>
      </c>
      <c r="OYF93" s="456" t="s">
        <v>116</v>
      </c>
      <c r="OYG93" s="456" t="s">
        <v>116</v>
      </c>
      <c r="OYH93" s="456" t="s">
        <v>116</v>
      </c>
      <c r="OYI93" s="456" t="s">
        <v>116</v>
      </c>
      <c r="OYJ93" s="456" t="s">
        <v>116</v>
      </c>
      <c r="OYK93" s="456" t="s">
        <v>116</v>
      </c>
      <c r="OYL93" s="456" t="s">
        <v>116</v>
      </c>
      <c r="OYM93" s="456" t="s">
        <v>116</v>
      </c>
      <c r="OYN93" s="456" t="s">
        <v>116</v>
      </c>
      <c r="OYO93" s="456" t="s">
        <v>116</v>
      </c>
      <c r="OYP93" s="456" t="s">
        <v>116</v>
      </c>
      <c r="OYQ93" s="456" t="s">
        <v>116</v>
      </c>
      <c r="OYR93" s="456" t="s">
        <v>116</v>
      </c>
      <c r="OYS93" s="456" t="s">
        <v>116</v>
      </c>
      <c r="OYT93" s="456" t="s">
        <v>116</v>
      </c>
      <c r="OYU93" s="456" t="s">
        <v>116</v>
      </c>
      <c r="OYV93" s="456" t="s">
        <v>116</v>
      </c>
      <c r="OYW93" s="456" t="s">
        <v>116</v>
      </c>
      <c r="OYX93" s="456" t="s">
        <v>116</v>
      </c>
      <c r="OYY93" s="456" t="s">
        <v>116</v>
      </c>
      <c r="OYZ93" s="456" t="s">
        <v>116</v>
      </c>
      <c r="OZA93" s="456" t="s">
        <v>116</v>
      </c>
      <c r="OZB93" s="456" t="s">
        <v>116</v>
      </c>
      <c r="OZC93" s="456" t="s">
        <v>116</v>
      </c>
      <c r="OZD93" s="456" t="s">
        <v>116</v>
      </c>
      <c r="OZE93" s="456" t="s">
        <v>116</v>
      </c>
      <c r="OZF93" s="456" t="s">
        <v>116</v>
      </c>
      <c r="OZG93" s="456" t="s">
        <v>116</v>
      </c>
      <c r="OZH93" s="456" t="s">
        <v>116</v>
      </c>
      <c r="OZI93" s="456" t="s">
        <v>116</v>
      </c>
      <c r="OZJ93" s="456" t="s">
        <v>116</v>
      </c>
      <c r="OZK93" s="456" t="s">
        <v>116</v>
      </c>
      <c r="OZL93" s="456" t="s">
        <v>116</v>
      </c>
      <c r="OZM93" s="456" t="s">
        <v>116</v>
      </c>
      <c r="OZN93" s="456" t="s">
        <v>116</v>
      </c>
      <c r="OZO93" s="456" t="s">
        <v>116</v>
      </c>
      <c r="OZP93" s="456" t="s">
        <v>116</v>
      </c>
      <c r="OZQ93" s="456" t="s">
        <v>116</v>
      </c>
      <c r="OZR93" s="456" t="s">
        <v>116</v>
      </c>
      <c r="OZS93" s="456" t="s">
        <v>116</v>
      </c>
      <c r="OZT93" s="456" t="s">
        <v>116</v>
      </c>
      <c r="OZU93" s="456" t="s">
        <v>116</v>
      </c>
      <c r="OZV93" s="456" t="s">
        <v>116</v>
      </c>
      <c r="OZW93" s="456" t="s">
        <v>116</v>
      </c>
      <c r="OZX93" s="456" t="s">
        <v>116</v>
      </c>
      <c r="OZY93" s="456" t="s">
        <v>116</v>
      </c>
      <c r="OZZ93" s="456" t="s">
        <v>116</v>
      </c>
      <c r="PAA93" s="456" t="s">
        <v>116</v>
      </c>
      <c r="PAB93" s="456" t="s">
        <v>116</v>
      </c>
      <c r="PAC93" s="456" t="s">
        <v>116</v>
      </c>
      <c r="PAD93" s="456" t="s">
        <v>116</v>
      </c>
      <c r="PAE93" s="456" t="s">
        <v>116</v>
      </c>
      <c r="PAF93" s="456" t="s">
        <v>116</v>
      </c>
      <c r="PAG93" s="456" t="s">
        <v>116</v>
      </c>
      <c r="PAH93" s="456" t="s">
        <v>116</v>
      </c>
      <c r="PAI93" s="456" t="s">
        <v>116</v>
      </c>
      <c r="PAJ93" s="456" t="s">
        <v>116</v>
      </c>
      <c r="PAK93" s="456" t="s">
        <v>116</v>
      </c>
      <c r="PAL93" s="456" t="s">
        <v>116</v>
      </c>
      <c r="PAM93" s="456" t="s">
        <v>116</v>
      </c>
      <c r="PAN93" s="456" t="s">
        <v>116</v>
      </c>
      <c r="PAO93" s="456" t="s">
        <v>116</v>
      </c>
      <c r="PAP93" s="456" t="s">
        <v>116</v>
      </c>
      <c r="PAQ93" s="456" t="s">
        <v>116</v>
      </c>
      <c r="PAR93" s="456" t="s">
        <v>116</v>
      </c>
      <c r="PAS93" s="456" t="s">
        <v>116</v>
      </c>
      <c r="PAT93" s="456" t="s">
        <v>116</v>
      </c>
      <c r="PAU93" s="456" t="s">
        <v>116</v>
      </c>
      <c r="PAV93" s="456" t="s">
        <v>116</v>
      </c>
      <c r="PAW93" s="456" t="s">
        <v>116</v>
      </c>
      <c r="PAX93" s="456" t="s">
        <v>116</v>
      </c>
      <c r="PAY93" s="456" t="s">
        <v>116</v>
      </c>
      <c r="PAZ93" s="456" t="s">
        <v>116</v>
      </c>
      <c r="PBA93" s="456" t="s">
        <v>116</v>
      </c>
      <c r="PBB93" s="456" t="s">
        <v>116</v>
      </c>
      <c r="PBC93" s="456" t="s">
        <v>116</v>
      </c>
      <c r="PBD93" s="456" t="s">
        <v>116</v>
      </c>
      <c r="PBE93" s="456" t="s">
        <v>116</v>
      </c>
      <c r="PBF93" s="456" t="s">
        <v>116</v>
      </c>
      <c r="PBG93" s="456" t="s">
        <v>116</v>
      </c>
      <c r="PBH93" s="456" t="s">
        <v>116</v>
      </c>
      <c r="PBI93" s="456" t="s">
        <v>116</v>
      </c>
      <c r="PBJ93" s="456" t="s">
        <v>116</v>
      </c>
      <c r="PBK93" s="456" t="s">
        <v>116</v>
      </c>
      <c r="PBL93" s="456" t="s">
        <v>116</v>
      </c>
      <c r="PBM93" s="456" t="s">
        <v>116</v>
      </c>
      <c r="PBN93" s="456" t="s">
        <v>116</v>
      </c>
      <c r="PBO93" s="456" t="s">
        <v>116</v>
      </c>
      <c r="PBP93" s="456" t="s">
        <v>116</v>
      </c>
      <c r="PBQ93" s="456" t="s">
        <v>116</v>
      </c>
      <c r="PBR93" s="456" t="s">
        <v>116</v>
      </c>
      <c r="PBS93" s="456" t="s">
        <v>116</v>
      </c>
      <c r="PBT93" s="456" t="s">
        <v>116</v>
      </c>
      <c r="PBU93" s="456" t="s">
        <v>116</v>
      </c>
      <c r="PBV93" s="456" t="s">
        <v>116</v>
      </c>
      <c r="PBW93" s="456" t="s">
        <v>116</v>
      </c>
      <c r="PBX93" s="456" t="s">
        <v>116</v>
      </c>
      <c r="PBY93" s="456" t="s">
        <v>116</v>
      </c>
      <c r="PBZ93" s="456" t="s">
        <v>116</v>
      </c>
      <c r="PCA93" s="456" t="s">
        <v>116</v>
      </c>
      <c r="PCB93" s="456" t="s">
        <v>116</v>
      </c>
      <c r="PCC93" s="456" t="s">
        <v>116</v>
      </c>
      <c r="PCD93" s="456" t="s">
        <v>116</v>
      </c>
      <c r="PCE93" s="456" t="s">
        <v>116</v>
      </c>
      <c r="PCF93" s="456" t="s">
        <v>116</v>
      </c>
      <c r="PCG93" s="456" t="s">
        <v>116</v>
      </c>
      <c r="PCH93" s="456" t="s">
        <v>116</v>
      </c>
      <c r="PCI93" s="456" t="s">
        <v>116</v>
      </c>
      <c r="PCJ93" s="456" t="s">
        <v>116</v>
      </c>
      <c r="PCK93" s="456" t="s">
        <v>116</v>
      </c>
      <c r="PCL93" s="456" t="s">
        <v>116</v>
      </c>
      <c r="PCM93" s="456" t="s">
        <v>116</v>
      </c>
      <c r="PCN93" s="456" t="s">
        <v>116</v>
      </c>
      <c r="PCO93" s="456" t="s">
        <v>116</v>
      </c>
      <c r="PCP93" s="456" t="s">
        <v>116</v>
      </c>
      <c r="PCQ93" s="456" t="s">
        <v>116</v>
      </c>
      <c r="PCR93" s="456" t="s">
        <v>116</v>
      </c>
      <c r="PCS93" s="456" t="s">
        <v>116</v>
      </c>
      <c r="PCT93" s="456" t="s">
        <v>116</v>
      </c>
      <c r="PCU93" s="456" t="s">
        <v>116</v>
      </c>
      <c r="PCV93" s="456" t="s">
        <v>116</v>
      </c>
      <c r="PCW93" s="456" t="s">
        <v>116</v>
      </c>
      <c r="PCX93" s="456" t="s">
        <v>116</v>
      </c>
      <c r="PCY93" s="456" t="s">
        <v>116</v>
      </c>
      <c r="PCZ93" s="456" t="s">
        <v>116</v>
      </c>
      <c r="PDA93" s="456" t="s">
        <v>116</v>
      </c>
      <c r="PDB93" s="456" t="s">
        <v>116</v>
      </c>
      <c r="PDC93" s="456" t="s">
        <v>116</v>
      </c>
      <c r="PDD93" s="456" t="s">
        <v>116</v>
      </c>
      <c r="PDE93" s="456" t="s">
        <v>116</v>
      </c>
      <c r="PDF93" s="456" t="s">
        <v>116</v>
      </c>
      <c r="PDG93" s="456" t="s">
        <v>116</v>
      </c>
      <c r="PDH93" s="456" t="s">
        <v>116</v>
      </c>
      <c r="PDI93" s="456" t="s">
        <v>116</v>
      </c>
      <c r="PDJ93" s="456" t="s">
        <v>116</v>
      </c>
      <c r="PDK93" s="456" t="s">
        <v>116</v>
      </c>
      <c r="PDL93" s="456" t="s">
        <v>116</v>
      </c>
      <c r="PDM93" s="456" t="s">
        <v>116</v>
      </c>
      <c r="PDN93" s="456" t="s">
        <v>116</v>
      </c>
      <c r="PDO93" s="456" t="s">
        <v>116</v>
      </c>
      <c r="PDP93" s="456" t="s">
        <v>116</v>
      </c>
      <c r="PDQ93" s="456" t="s">
        <v>116</v>
      </c>
      <c r="PDR93" s="456" t="s">
        <v>116</v>
      </c>
      <c r="PDS93" s="456" t="s">
        <v>116</v>
      </c>
      <c r="PDT93" s="456" t="s">
        <v>116</v>
      </c>
      <c r="PDU93" s="456" t="s">
        <v>116</v>
      </c>
      <c r="PDV93" s="456" t="s">
        <v>116</v>
      </c>
      <c r="PDW93" s="456" t="s">
        <v>116</v>
      </c>
      <c r="PDX93" s="456" t="s">
        <v>116</v>
      </c>
      <c r="PDY93" s="456" t="s">
        <v>116</v>
      </c>
      <c r="PDZ93" s="456" t="s">
        <v>116</v>
      </c>
      <c r="PEA93" s="456" t="s">
        <v>116</v>
      </c>
      <c r="PEB93" s="456" t="s">
        <v>116</v>
      </c>
      <c r="PEC93" s="456" t="s">
        <v>116</v>
      </c>
      <c r="PED93" s="456" t="s">
        <v>116</v>
      </c>
      <c r="PEE93" s="456" t="s">
        <v>116</v>
      </c>
      <c r="PEF93" s="456" t="s">
        <v>116</v>
      </c>
      <c r="PEG93" s="456" t="s">
        <v>116</v>
      </c>
      <c r="PEH93" s="456" t="s">
        <v>116</v>
      </c>
      <c r="PEI93" s="456" t="s">
        <v>116</v>
      </c>
      <c r="PEJ93" s="456" t="s">
        <v>116</v>
      </c>
      <c r="PEK93" s="456" t="s">
        <v>116</v>
      </c>
      <c r="PEL93" s="456" t="s">
        <v>116</v>
      </c>
      <c r="PEM93" s="456" t="s">
        <v>116</v>
      </c>
      <c r="PEN93" s="456" t="s">
        <v>116</v>
      </c>
      <c r="PEO93" s="456" t="s">
        <v>116</v>
      </c>
      <c r="PEP93" s="456" t="s">
        <v>116</v>
      </c>
      <c r="PEQ93" s="456" t="s">
        <v>116</v>
      </c>
      <c r="PER93" s="456" t="s">
        <v>116</v>
      </c>
      <c r="PES93" s="456" t="s">
        <v>116</v>
      </c>
      <c r="PET93" s="456" t="s">
        <v>116</v>
      </c>
      <c r="PEU93" s="456" t="s">
        <v>116</v>
      </c>
      <c r="PEV93" s="456" t="s">
        <v>116</v>
      </c>
      <c r="PEW93" s="456" t="s">
        <v>116</v>
      </c>
      <c r="PEX93" s="456" t="s">
        <v>116</v>
      </c>
      <c r="PEY93" s="456" t="s">
        <v>116</v>
      </c>
      <c r="PEZ93" s="456" t="s">
        <v>116</v>
      </c>
      <c r="PFA93" s="456" t="s">
        <v>116</v>
      </c>
      <c r="PFB93" s="456" t="s">
        <v>116</v>
      </c>
      <c r="PFC93" s="456" t="s">
        <v>116</v>
      </c>
      <c r="PFD93" s="456" t="s">
        <v>116</v>
      </c>
      <c r="PFE93" s="456" t="s">
        <v>116</v>
      </c>
      <c r="PFF93" s="456" t="s">
        <v>116</v>
      </c>
      <c r="PFG93" s="456" t="s">
        <v>116</v>
      </c>
      <c r="PFH93" s="456" t="s">
        <v>116</v>
      </c>
      <c r="PFI93" s="456" t="s">
        <v>116</v>
      </c>
      <c r="PFJ93" s="456" t="s">
        <v>116</v>
      </c>
      <c r="PFK93" s="456" t="s">
        <v>116</v>
      </c>
      <c r="PFL93" s="456" t="s">
        <v>116</v>
      </c>
      <c r="PFM93" s="456" t="s">
        <v>116</v>
      </c>
      <c r="PFN93" s="456" t="s">
        <v>116</v>
      </c>
      <c r="PFO93" s="456" t="s">
        <v>116</v>
      </c>
      <c r="PFP93" s="456" t="s">
        <v>116</v>
      </c>
      <c r="PFQ93" s="456" t="s">
        <v>116</v>
      </c>
      <c r="PFR93" s="456" t="s">
        <v>116</v>
      </c>
      <c r="PFS93" s="456" t="s">
        <v>116</v>
      </c>
      <c r="PFT93" s="456" t="s">
        <v>116</v>
      </c>
      <c r="PFU93" s="456" t="s">
        <v>116</v>
      </c>
      <c r="PFV93" s="456" t="s">
        <v>116</v>
      </c>
      <c r="PFW93" s="456" t="s">
        <v>116</v>
      </c>
      <c r="PFX93" s="456" t="s">
        <v>116</v>
      </c>
      <c r="PFY93" s="456" t="s">
        <v>116</v>
      </c>
      <c r="PFZ93" s="456" t="s">
        <v>116</v>
      </c>
      <c r="PGA93" s="456" t="s">
        <v>116</v>
      </c>
      <c r="PGB93" s="456" t="s">
        <v>116</v>
      </c>
      <c r="PGC93" s="456" t="s">
        <v>116</v>
      </c>
      <c r="PGD93" s="456" t="s">
        <v>116</v>
      </c>
      <c r="PGE93" s="456" t="s">
        <v>116</v>
      </c>
      <c r="PGF93" s="456" t="s">
        <v>116</v>
      </c>
      <c r="PGG93" s="456" t="s">
        <v>116</v>
      </c>
      <c r="PGH93" s="456" t="s">
        <v>116</v>
      </c>
      <c r="PGI93" s="456" t="s">
        <v>116</v>
      </c>
      <c r="PGJ93" s="456" t="s">
        <v>116</v>
      </c>
      <c r="PGK93" s="456" t="s">
        <v>116</v>
      </c>
      <c r="PGL93" s="456" t="s">
        <v>116</v>
      </c>
      <c r="PGM93" s="456" t="s">
        <v>116</v>
      </c>
      <c r="PGN93" s="456" t="s">
        <v>116</v>
      </c>
      <c r="PGO93" s="456" t="s">
        <v>116</v>
      </c>
      <c r="PGP93" s="456" t="s">
        <v>116</v>
      </c>
      <c r="PGQ93" s="456" t="s">
        <v>116</v>
      </c>
      <c r="PGR93" s="456" t="s">
        <v>116</v>
      </c>
      <c r="PGS93" s="456" t="s">
        <v>116</v>
      </c>
      <c r="PGT93" s="456" t="s">
        <v>116</v>
      </c>
      <c r="PGU93" s="456" t="s">
        <v>116</v>
      </c>
      <c r="PGV93" s="456" t="s">
        <v>116</v>
      </c>
      <c r="PGW93" s="456" t="s">
        <v>116</v>
      </c>
      <c r="PGX93" s="456" t="s">
        <v>116</v>
      </c>
      <c r="PGY93" s="456" t="s">
        <v>116</v>
      </c>
      <c r="PGZ93" s="456" t="s">
        <v>116</v>
      </c>
      <c r="PHA93" s="456" t="s">
        <v>116</v>
      </c>
      <c r="PHB93" s="456" t="s">
        <v>116</v>
      </c>
      <c r="PHC93" s="456" t="s">
        <v>116</v>
      </c>
      <c r="PHD93" s="456" t="s">
        <v>116</v>
      </c>
      <c r="PHE93" s="456" t="s">
        <v>116</v>
      </c>
      <c r="PHF93" s="456" t="s">
        <v>116</v>
      </c>
      <c r="PHG93" s="456" t="s">
        <v>116</v>
      </c>
      <c r="PHH93" s="456" t="s">
        <v>116</v>
      </c>
      <c r="PHI93" s="456" t="s">
        <v>116</v>
      </c>
      <c r="PHJ93" s="456" t="s">
        <v>116</v>
      </c>
      <c r="PHK93" s="456" t="s">
        <v>116</v>
      </c>
      <c r="PHL93" s="456" t="s">
        <v>116</v>
      </c>
      <c r="PHM93" s="456" t="s">
        <v>116</v>
      </c>
      <c r="PHN93" s="456" t="s">
        <v>116</v>
      </c>
      <c r="PHO93" s="456" t="s">
        <v>116</v>
      </c>
      <c r="PHP93" s="456" t="s">
        <v>116</v>
      </c>
      <c r="PHQ93" s="456" t="s">
        <v>116</v>
      </c>
      <c r="PHR93" s="456" t="s">
        <v>116</v>
      </c>
      <c r="PHS93" s="456" t="s">
        <v>116</v>
      </c>
      <c r="PHT93" s="456" t="s">
        <v>116</v>
      </c>
      <c r="PHU93" s="456" t="s">
        <v>116</v>
      </c>
      <c r="PHV93" s="456" t="s">
        <v>116</v>
      </c>
      <c r="PHW93" s="456" t="s">
        <v>116</v>
      </c>
      <c r="PHX93" s="456" t="s">
        <v>116</v>
      </c>
      <c r="PHY93" s="456" t="s">
        <v>116</v>
      </c>
      <c r="PHZ93" s="456" t="s">
        <v>116</v>
      </c>
      <c r="PIA93" s="456" t="s">
        <v>116</v>
      </c>
      <c r="PIB93" s="456" t="s">
        <v>116</v>
      </c>
      <c r="PIC93" s="456" t="s">
        <v>116</v>
      </c>
      <c r="PID93" s="456" t="s">
        <v>116</v>
      </c>
      <c r="PIE93" s="456" t="s">
        <v>116</v>
      </c>
      <c r="PIF93" s="456" t="s">
        <v>116</v>
      </c>
      <c r="PIG93" s="456" t="s">
        <v>116</v>
      </c>
      <c r="PIH93" s="456" t="s">
        <v>116</v>
      </c>
      <c r="PII93" s="456" t="s">
        <v>116</v>
      </c>
      <c r="PIJ93" s="456" t="s">
        <v>116</v>
      </c>
      <c r="PIK93" s="456" t="s">
        <v>116</v>
      </c>
      <c r="PIL93" s="456" t="s">
        <v>116</v>
      </c>
      <c r="PIM93" s="456" t="s">
        <v>116</v>
      </c>
      <c r="PIN93" s="456" t="s">
        <v>116</v>
      </c>
      <c r="PIO93" s="456" t="s">
        <v>116</v>
      </c>
      <c r="PIP93" s="456" t="s">
        <v>116</v>
      </c>
      <c r="PIQ93" s="456" t="s">
        <v>116</v>
      </c>
      <c r="PIR93" s="456" t="s">
        <v>116</v>
      </c>
      <c r="PIS93" s="456" t="s">
        <v>116</v>
      </c>
      <c r="PIT93" s="456" t="s">
        <v>116</v>
      </c>
      <c r="PIU93" s="456" t="s">
        <v>116</v>
      </c>
      <c r="PIV93" s="456" t="s">
        <v>116</v>
      </c>
      <c r="PIW93" s="456" t="s">
        <v>116</v>
      </c>
      <c r="PIX93" s="456" t="s">
        <v>116</v>
      </c>
      <c r="PIY93" s="456" t="s">
        <v>116</v>
      </c>
      <c r="PIZ93" s="456" t="s">
        <v>116</v>
      </c>
      <c r="PJA93" s="456" t="s">
        <v>116</v>
      </c>
      <c r="PJB93" s="456" t="s">
        <v>116</v>
      </c>
      <c r="PJC93" s="456" t="s">
        <v>116</v>
      </c>
      <c r="PJD93" s="456" t="s">
        <v>116</v>
      </c>
      <c r="PJE93" s="456" t="s">
        <v>116</v>
      </c>
      <c r="PJF93" s="456" t="s">
        <v>116</v>
      </c>
      <c r="PJG93" s="456" t="s">
        <v>116</v>
      </c>
      <c r="PJH93" s="456" t="s">
        <v>116</v>
      </c>
      <c r="PJI93" s="456" t="s">
        <v>116</v>
      </c>
      <c r="PJJ93" s="456" t="s">
        <v>116</v>
      </c>
      <c r="PJK93" s="456" t="s">
        <v>116</v>
      </c>
      <c r="PJL93" s="456" t="s">
        <v>116</v>
      </c>
      <c r="PJM93" s="456" t="s">
        <v>116</v>
      </c>
      <c r="PJN93" s="456" t="s">
        <v>116</v>
      </c>
      <c r="PJO93" s="456" t="s">
        <v>116</v>
      </c>
      <c r="PJP93" s="456" t="s">
        <v>116</v>
      </c>
      <c r="PJQ93" s="456" t="s">
        <v>116</v>
      </c>
      <c r="PJR93" s="456" t="s">
        <v>116</v>
      </c>
      <c r="PJS93" s="456" t="s">
        <v>116</v>
      </c>
      <c r="PJT93" s="456" t="s">
        <v>116</v>
      </c>
      <c r="PJU93" s="456" t="s">
        <v>116</v>
      </c>
      <c r="PJV93" s="456" t="s">
        <v>116</v>
      </c>
      <c r="PJW93" s="456" t="s">
        <v>116</v>
      </c>
      <c r="PJX93" s="456" t="s">
        <v>116</v>
      </c>
      <c r="PJY93" s="456" t="s">
        <v>116</v>
      </c>
      <c r="PJZ93" s="456" t="s">
        <v>116</v>
      </c>
      <c r="PKA93" s="456" t="s">
        <v>116</v>
      </c>
      <c r="PKB93" s="456" t="s">
        <v>116</v>
      </c>
      <c r="PKC93" s="456" t="s">
        <v>116</v>
      </c>
      <c r="PKD93" s="456" t="s">
        <v>116</v>
      </c>
      <c r="PKE93" s="456" t="s">
        <v>116</v>
      </c>
      <c r="PKF93" s="456" t="s">
        <v>116</v>
      </c>
      <c r="PKG93" s="456" t="s">
        <v>116</v>
      </c>
      <c r="PKH93" s="456" t="s">
        <v>116</v>
      </c>
      <c r="PKI93" s="456" t="s">
        <v>116</v>
      </c>
      <c r="PKJ93" s="456" t="s">
        <v>116</v>
      </c>
      <c r="PKK93" s="456" t="s">
        <v>116</v>
      </c>
      <c r="PKL93" s="456" t="s">
        <v>116</v>
      </c>
      <c r="PKM93" s="456" t="s">
        <v>116</v>
      </c>
      <c r="PKN93" s="456" t="s">
        <v>116</v>
      </c>
      <c r="PKO93" s="456" t="s">
        <v>116</v>
      </c>
      <c r="PKP93" s="456" t="s">
        <v>116</v>
      </c>
      <c r="PKQ93" s="456" t="s">
        <v>116</v>
      </c>
      <c r="PKR93" s="456" t="s">
        <v>116</v>
      </c>
      <c r="PKS93" s="456" t="s">
        <v>116</v>
      </c>
      <c r="PKT93" s="456" t="s">
        <v>116</v>
      </c>
      <c r="PKU93" s="456" t="s">
        <v>116</v>
      </c>
      <c r="PKV93" s="456" t="s">
        <v>116</v>
      </c>
      <c r="PKW93" s="456" t="s">
        <v>116</v>
      </c>
      <c r="PKX93" s="456" t="s">
        <v>116</v>
      </c>
      <c r="PKY93" s="456" t="s">
        <v>116</v>
      </c>
      <c r="PKZ93" s="456" t="s">
        <v>116</v>
      </c>
      <c r="PLA93" s="456" t="s">
        <v>116</v>
      </c>
      <c r="PLB93" s="456" t="s">
        <v>116</v>
      </c>
      <c r="PLC93" s="456" t="s">
        <v>116</v>
      </c>
      <c r="PLD93" s="456" t="s">
        <v>116</v>
      </c>
      <c r="PLE93" s="456" t="s">
        <v>116</v>
      </c>
      <c r="PLF93" s="456" t="s">
        <v>116</v>
      </c>
      <c r="PLG93" s="456" t="s">
        <v>116</v>
      </c>
      <c r="PLH93" s="456" t="s">
        <v>116</v>
      </c>
      <c r="PLI93" s="456" t="s">
        <v>116</v>
      </c>
      <c r="PLJ93" s="456" t="s">
        <v>116</v>
      </c>
      <c r="PLK93" s="456" t="s">
        <v>116</v>
      </c>
      <c r="PLL93" s="456" t="s">
        <v>116</v>
      </c>
      <c r="PLM93" s="456" t="s">
        <v>116</v>
      </c>
      <c r="PLN93" s="456" t="s">
        <v>116</v>
      </c>
      <c r="PLO93" s="456" t="s">
        <v>116</v>
      </c>
      <c r="PLP93" s="456" t="s">
        <v>116</v>
      </c>
      <c r="PLQ93" s="456" t="s">
        <v>116</v>
      </c>
      <c r="PLR93" s="456" t="s">
        <v>116</v>
      </c>
      <c r="PLS93" s="456" t="s">
        <v>116</v>
      </c>
      <c r="PLT93" s="456" t="s">
        <v>116</v>
      </c>
      <c r="PLU93" s="456" t="s">
        <v>116</v>
      </c>
      <c r="PLV93" s="456" t="s">
        <v>116</v>
      </c>
      <c r="PLW93" s="456" t="s">
        <v>116</v>
      </c>
      <c r="PLX93" s="456" t="s">
        <v>116</v>
      </c>
      <c r="PLY93" s="456" t="s">
        <v>116</v>
      </c>
      <c r="PLZ93" s="456" t="s">
        <v>116</v>
      </c>
      <c r="PMA93" s="456" t="s">
        <v>116</v>
      </c>
      <c r="PMB93" s="456" t="s">
        <v>116</v>
      </c>
      <c r="PMC93" s="456" t="s">
        <v>116</v>
      </c>
      <c r="PMD93" s="456" t="s">
        <v>116</v>
      </c>
      <c r="PME93" s="456" t="s">
        <v>116</v>
      </c>
      <c r="PMF93" s="456" t="s">
        <v>116</v>
      </c>
      <c r="PMG93" s="456" t="s">
        <v>116</v>
      </c>
      <c r="PMH93" s="456" t="s">
        <v>116</v>
      </c>
      <c r="PMI93" s="456" t="s">
        <v>116</v>
      </c>
      <c r="PMJ93" s="456" t="s">
        <v>116</v>
      </c>
      <c r="PMK93" s="456" t="s">
        <v>116</v>
      </c>
      <c r="PML93" s="456" t="s">
        <v>116</v>
      </c>
      <c r="PMM93" s="456" t="s">
        <v>116</v>
      </c>
      <c r="PMN93" s="456" t="s">
        <v>116</v>
      </c>
      <c r="PMO93" s="456" t="s">
        <v>116</v>
      </c>
      <c r="PMP93" s="456" t="s">
        <v>116</v>
      </c>
      <c r="PMQ93" s="456" t="s">
        <v>116</v>
      </c>
      <c r="PMR93" s="456" t="s">
        <v>116</v>
      </c>
      <c r="PMS93" s="456" t="s">
        <v>116</v>
      </c>
      <c r="PMT93" s="456" t="s">
        <v>116</v>
      </c>
      <c r="PMU93" s="456" t="s">
        <v>116</v>
      </c>
      <c r="PMV93" s="456" t="s">
        <v>116</v>
      </c>
      <c r="PMW93" s="456" t="s">
        <v>116</v>
      </c>
      <c r="PMX93" s="456" t="s">
        <v>116</v>
      </c>
      <c r="PMY93" s="456" t="s">
        <v>116</v>
      </c>
      <c r="PMZ93" s="456" t="s">
        <v>116</v>
      </c>
      <c r="PNA93" s="456" t="s">
        <v>116</v>
      </c>
      <c r="PNB93" s="456" t="s">
        <v>116</v>
      </c>
      <c r="PNC93" s="456" t="s">
        <v>116</v>
      </c>
      <c r="PND93" s="456" t="s">
        <v>116</v>
      </c>
      <c r="PNE93" s="456" t="s">
        <v>116</v>
      </c>
      <c r="PNF93" s="456" t="s">
        <v>116</v>
      </c>
      <c r="PNG93" s="456" t="s">
        <v>116</v>
      </c>
      <c r="PNH93" s="456" t="s">
        <v>116</v>
      </c>
      <c r="PNI93" s="456" t="s">
        <v>116</v>
      </c>
      <c r="PNJ93" s="456" t="s">
        <v>116</v>
      </c>
      <c r="PNK93" s="456" t="s">
        <v>116</v>
      </c>
      <c r="PNL93" s="456" t="s">
        <v>116</v>
      </c>
      <c r="PNM93" s="456" t="s">
        <v>116</v>
      </c>
      <c r="PNN93" s="456" t="s">
        <v>116</v>
      </c>
      <c r="PNO93" s="456" t="s">
        <v>116</v>
      </c>
      <c r="PNP93" s="456" t="s">
        <v>116</v>
      </c>
      <c r="PNQ93" s="456" t="s">
        <v>116</v>
      </c>
      <c r="PNR93" s="456" t="s">
        <v>116</v>
      </c>
      <c r="PNS93" s="456" t="s">
        <v>116</v>
      </c>
      <c r="PNT93" s="456" t="s">
        <v>116</v>
      </c>
      <c r="PNU93" s="456" t="s">
        <v>116</v>
      </c>
      <c r="PNV93" s="456" t="s">
        <v>116</v>
      </c>
      <c r="PNW93" s="456" t="s">
        <v>116</v>
      </c>
      <c r="PNX93" s="456" t="s">
        <v>116</v>
      </c>
      <c r="PNY93" s="456" t="s">
        <v>116</v>
      </c>
      <c r="PNZ93" s="456" t="s">
        <v>116</v>
      </c>
      <c r="POA93" s="456" t="s">
        <v>116</v>
      </c>
      <c r="POB93" s="456" t="s">
        <v>116</v>
      </c>
      <c r="POC93" s="456" t="s">
        <v>116</v>
      </c>
      <c r="POD93" s="456" t="s">
        <v>116</v>
      </c>
      <c r="POE93" s="456" t="s">
        <v>116</v>
      </c>
      <c r="POF93" s="456" t="s">
        <v>116</v>
      </c>
      <c r="POG93" s="456" t="s">
        <v>116</v>
      </c>
      <c r="POH93" s="456" t="s">
        <v>116</v>
      </c>
      <c r="POI93" s="456" t="s">
        <v>116</v>
      </c>
      <c r="POJ93" s="456" t="s">
        <v>116</v>
      </c>
      <c r="POK93" s="456" t="s">
        <v>116</v>
      </c>
      <c r="POL93" s="456" t="s">
        <v>116</v>
      </c>
      <c r="POM93" s="456" t="s">
        <v>116</v>
      </c>
      <c r="PON93" s="456" t="s">
        <v>116</v>
      </c>
      <c r="POO93" s="456" t="s">
        <v>116</v>
      </c>
      <c r="POP93" s="456" t="s">
        <v>116</v>
      </c>
      <c r="POQ93" s="456" t="s">
        <v>116</v>
      </c>
      <c r="POR93" s="456" t="s">
        <v>116</v>
      </c>
      <c r="POS93" s="456" t="s">
        <v>116</v>
      </c>
      <c r="POT93" s="456" t="s">
        <v>116</v>
      </c>
      <c r="POU93" s="456" t="s">
        <v>116</v>
      </c>
      <c r="POV93" s="456" t="s">
        <v>116</v>
      </c>
      <c r="POW93" s="456" t="s">
        <v>116</v>
      </c>
      <c r="POX93" s="456" t="s">
        <v>116</v>
      </c>
      <c r="POY93" s="456" t="s">
        <v>116</v>
      </c>
      <c r="POZ93" s="456" t="s">
        <v>116</v>
      </c>
      <c r="PPA93" s="456" t="s">
        <v>116</v>
      </c>
      <c r="PPB93" s="456" t="s">
        <v>116</v>
      </c>
      <c r="PPC93" s="456" t="s">
        <v>116</v>
      </c>
      <c r="PPD93" s="456" t="s">
        <v>116</v>
      </c>
      <c r="PPE93" s="456" t="s">
        <v>116</v>
      </c>
      <c r="PPF93" s="456" t="s">
        <v>116</v>
      </c>
      <c r="PPG93" s="456" t="s">
        <v>116</v>
      </c>
      <c r="PPH93" s="456" t="s">
        <v>116</v>
      </c>
      <c r="PPI93" s="456" t="s">
        <v>116</v>
      </c>
      <c r="PPJ93" s="456" t="s">
        <v>116</v>
      </c>
      <c r="PPK93" s="456" t="s">
        <v>116</v>
      </c>
      <c r="PPL93" s="456" t="s">
        <v>116</v>
      </c>
      <c r="PPM93" s="456" t="s">
        <v>116</v>
      </c>
      <c r="PPN93" s="456" t="s">
        <v>116</v>
      </c>
      <c r="PPO93" s="456" t="s">
        <v>116</v>
      </c>
      <c r="PPP93" s="456" t="s">
        <v>116</v>
      </c>
      <c r="PPQ93" s="456" t="s">
        <v>116</v>
      </c>
      <c r="PPR93" s="456" t="s">
        <v>116</v>
      </c>
      <c r="PPS93" s="456" t="s">
        <v>116</v>
      </c>
      <c r="PPT93" s="456" t="s">
        <v>116</v>
      </c>
      <c r="PPU93" s="456" t="s">
        <v>116</v>
      </c>
      <c r="PPV93" s="456" t="s">
        <v>116</v>
      </c>
      <c r="PPW93" s="456" t="s">
        <v>116</v>
      </c>
      <c r="PPX93" s="456" t="s">
        <v>116</v>
      </c>
      <c r="PPY93" s="456" t="s">
        <v>116</v>
      </c>
      <c r="PPZ93" s="456" t="s">
        <v>116</v>
      </c>
      <c r="PQA93" s="456" t="s">
        <v>116</v>
      </c>
      <c r="PQB93" s="456" t="s">
        <v>116</v>
      </c>
      <c r="PQC93" s="456" t="s">
        <v>116</v>
      </c>
      <c r="PQD93" s="456" t="s">
        <v>116</v>
      </c>
      <c r="PQE93" s="456" t="s">
        <v>116</v>
      </c>
      <c r="PQF93" s="456" t="s">
        <v>116</v>
      </c>
      <c r="PQG93" s="456" t="s">
        <v>116</v>
      </c>
      <c r="PQH93" s="456" t="s">
        <v>116</v>
      </c>
      <c r="PQI93" s="456" t="s">
        <v>116</v>
      </c>
      <c r="PQJ93" s="456" t="s">
        <v>116</v>
      </c>
      <c r="PQK93" s="456" t="s">
        <v>116</v>
      </c>
      <c r="PQL93" s="456" t="s">
        <v>116</v>
      </c>
      <c r="PQM93" s="456" t="s">
        <v>116</v>
      </c>
      <c r="PQN93" s="456" t="s">
        <v>116</v>
      </c>
      <c r="PQO93" s="456" t="s">
        <v>116</v>
      </c>
      <c r="PQP93" s="456" t="s">
        <v>116</v>
      </c>
      <c r="PQQ93" s="456" t="s">
        <v>116</v>
      </c>
      <c r="PQR93" s="456" t="s">
        <v>116</v>
      </c>
      <c r="PQS93" s="456" t="s">
        <v>116</v>
      </c>
      <c r="PQT93" s="456" t="s">
        <v>116</v>
      </c>
      <c r="PQU93" s="456" t="s">
        <v>116</v>
      </c>
      <c r="PQV93" s="456" t="s">
        <v>116</v>
      </c>
      <c r="PQW93" s="456" t="s">
        <v>116</v>
      </c>
      <c r="PQX93" s="456" t="s">
        <v>116</v>
      </c>
      <c r="PQY93" s="456" t="s">
        <v>116</v>
      </c>
      <c r="PQZ93" s="456" t="s">
        <v>116</v>
      </c>
      <c r="PRA93" s="456" t="s">
        <v>116</v>
      </c>
      <c r="PRB93" s="456" t="s">
        <v>116</v>
      </c>
      <c r="PRC93" s="456" t="s">
        <v>116</v>
      </c>
      <c r="PRD93" s="456" t="s">
        <v>116</v>
      </c>
      <c r="PRE93" s="456" t="s">
        <v>116</v>
      </c>
      <c r="PRF93" s="456" t="s">
        <v>116</v>
      </c>
      <c r="PRG93" s="456" t="s">
        <v>116</v>
      </c>
      <c r="PRH93" s="456" t="s">
        <v>116</v>
      </c>
      <c r="PRI93" s="456" t="s">
        <v>116</v>
      </c>
      <c r="PRJ93" s="456" t="s">
        <v>116</v>
      </c>
      <c r="PRK93" s="456" t="s">
        <v>116</v>
      </c>
      <c r="PRL93" s="456" t="s">
        <v>116</v>
      </c>
      <c r="PRM93" s="456" t="s">
        <v>116</v>
      </c>
      <c r="PRN93" s="456" t="s">
        <v>116</v>
      </c>
      <c r="PRO93" s="456" t="s">
        <v>116</v>
      </c>
      <c r="PRP93" s="456" t="s">
        <v>116</v>
      </c>
      <c r="PRQ93" s="456" t="s">
        <v>116</v>
      </c>
      <c r="PRR93" s="456" t="s">
        <v>116</v>
      </c>
      <c r="PRS93" s="456" t="s">
        <v>116</v>
      </c>
      <c r="PRT93" s="456" t="s">
        <v>116</v>
      </c>
      <c r="PRU93" s="456" t="s">
        <v>116</v>
      </c>
      <c r="PRV93" s="456" t="s">
        <v>116</v>
      </c>
      <c r="PRW93" s="456" t="s">
        <v>116</v>
      </c>
      <c r="PRX93" s="456" t="s">
        <v>116</v>
      </c>
      <c r="PRY93" s="456" t="s">
        <v>116</v>
      </c>
      <c r="PRZ93" s="456" t="s">
        <v>116</v>
      </c>
      <c r="PSA93" s="456" t="s">
        <v>116</v>
      </c>
      <c r="PSB93" s="456" t="s">
        <v>116</v>
      </c>
      <c r="PSC93" s="456" t="s">
        <v>116</v>
      </c>
      <c r="PSD93" s="456" t="s">
        <v>116</v>
      </c>
      <c r="PSE93" s="456" t="s">
        <v>116</v>
      </c>
      <c r="PSF93" s="456" t="s">
        <v>116</v>
      </c>
      <c r="PSG93" s="456" t="s">
        <v>116</v>
      </c>
      <c r="PSH93" s="456" t="s">
        <v>116</v>
      </c>
      <c r="PSI93" s="456" t="s">
        <v>116</v>
      </c>
      <c r="PSJ93" s="456" t="s">
        <v>116</v>
      </c>
      <c r="PSK93" s="456" t="s">
        <v>116</v>
      </c>
      <c r="PSL93" s="456" t="s">
        <v>116</v>
      </c>
      <c r="PSM93" s="456" t="s">
        <v>116</v>
      </c>
      <c r="PSN93" s="456" t="s">
        <v>116</v>
      </c>
      <c r="PSO93" s="456" t="s">
        <v>116</v>
      </c>
      <c r="PSP93" s="456" t="s">
        <v>116</v>
      </c>
      <c r="PSQ93" s="456" t="s">
        <v>116</v>
      </c>
      <c r="PSR93" s="456" t="s">
        <v>116</v>
      </c>
      <c r="PSS93" s="456" t="s">
        <v>116</v>
      </c>
      <c r="PST93" s="456" t="s">
        <v>116</v>
      </c>
      <c r="PSU93" s="456" t="s">
        <v>116</v>
      </c>
      <c r="PSV93" s="456" t="s">
        <v>116</v>
      </c>
      <c r="PSW93" s="456" t="s">
        <v>116</v>
      </c>
      <c r="PSX93" s="456" t="s">
        <v>116</v>
      </c>
      <c r="PSY93" s="456" t="s">
        <v>116</v>
      </c>
      <c r="PSZ93" s="456" t="s">
        <v>116</v>
      </c>
      <c r="PTA93" s="456" t="s">
        <v>116</v>
      </c>
      <c r="PTB93" s="456" t="s">
        <v>116</v>
      </c>
      <c r="PTC93" s="456" t="s">
        <v>116</v>
      </c>
      <c r="PTD93" s="456" t="s">
        <v>116</v>
      </c>
      <c r="PTE93" s="456" t="s">
        <v>116</v>
      </c>
      <c r="PTF93" s="456" t="s">
        <v>116</v>
      </c>
      <c r="PTG93" s="456" t="s">
        <v>116</v>
      </c>
      <c r="PTH93" s="456" t="s">
        <v>116</v>
      </c>
      <c r="PTI93" s="456" t="s">
        <v>116</v>
      </c>
      <c r="PTJ93" s="456" t="s">
        <v>116</v>
      </c>
      <c r="PTK93" s="456" t="s">
        <v>116</v>
      </c>
      <c r="PTL93" s="456" t="s">
        <v>116</v>
      </c>
      <c r="PTM93" s="456" t="s">
        <v>116</v>
      </c>
      <c r="PTN93" s="456" t="s">
        <v>116</v>
      </c>
      <c r="PTO93" s="456" t="s">
        <v>116</v>
      </c>
      <c r="PTP93" s="456" t="s">
        <v>116</v>
      </c>
      <c r="PTQ93" s="456" t="s">
        <v>116</v>
      </c>
      <c r="PTR93" s="456" t="s">
        <v>116</v>
      </c>
      <c r="PTS93" s="456" t="s">
        <v>116</v>
      </c>
      <c r="PTT93" s="456" t="s">
        <v>116</v>
      </c>
      <c r="PTU93" s="456" t="s">
        <v>116</v>
      </c>
      <c r="PTV93" s="456" t="s">
        <v>116</v>
      </c>
      <c r="PTW93" s="456" t="s">
        <v>116</v>
      </c>
      <c r="PTX93" s="456" t="s">
        <v>116</v>
      </c>
      <c r="PTY93" s="456" t="s">
        <v>116</v>
      </c>
      <c r="PTZ93" s="456" t="s">
        <v>116</v>
      </c>
      <c r="PUA93" s="456" t="s">
        <v>116</v>
      </c>
      <c r="PUB93" s="456" t="s">
        <v>116</v>
      </c>
      <c r="PUC93" s="456" t="s">
        <v>116</v>
      </c>
      <c r="PUD93" s="456" t="s">
        <v>116</v>
      </c>
      <c r="PUE93" s="456" t="s">
        <v>116</v>
      </c>
      <c r="PUF93" s="456" t="s">
        <v>116</v>
      </c>
      <c r="PUG93" s="456" t="s">
        <v>116</v>
      </c>
      <c r="PUH93" s="456" t="s">
        <v>116</v>
      </c>
      <c r="PUI93" s="456" t="s">
        <v>116</v>
      </c>
      <c r="PUJ93" s="456" t="s">
        <v>116</v>
      </c>
      <c r="PUK93" s="456" t="s">
        <v>116</v>
      </c>
      <c r="PUL93" s="456" t="s">
        <v>116</v>
      </c>
      <c r="PUM93" s="456" t="s">
        <v>116</v>
      </c>
      <c r="PUN93" s="456" t="s">
        <v>116</v>
      </c>
      <c r="PUO93" s="456" t="s">
        <v>116</v>
      </c>
      <c r="PUP93" s="456" t="s">
        <v>116</v>
      </c>
      <c r="PUQ93" s="456" t="s">
        <v>116</v>
      </c>
      <c r="PUR93" s="456" t="s">
        <v>116</v>
      </c>
      <c r="PUS93" s="456" t="s">
        <v>116</v>
      </c>
      <c r="PUT93" s="456" t="s">
        <v>116</v>
      </c>
      <c r="PUU93" s="456" t="s">
        <v>116</v>
      </c>
      <c r="PUV93" s="456" t="s">
        <v>116</v>
      </c>
      <c r="PUW93" s="456" t="s">
        <v>116</v>
      </c>
      <c r="PUX93" s="456" t="s">
        <v>116</v>
      </c>
      <c r="PUY93" s="456" t="s">
        <v>116</v>
      </c>
      <c r="PUZ93" s="456" t="s">
        <v>116</v>
      </c>
      <c r="PVA93" s="456" t="s">
        <v>116</v>
      </c>
      <c r="PVB93" s="456" t="s">
        <v>116</v>
      </c>
      <c r="PVC93" s="456" t="s">
        <v>116</v>
      </c>
      <c r="PVD93" s="456" t="s">
        <v>116</v>
      </c>
      <c r="PVE93" s="456" t="s">
        <v>116</v>
      </c>
      <c r="PVF93" s="456" t="s">
        <v>116</v>
      </c>
      <c r="PVG93" s="456" t="s">
        <v>116</v>
      </c>
      <c r="PVH93" s="456" t="s">
        <v>116</v>
      </c>
      <c r="PVI93" s="456" t="s">
        <v>116</v>
      </c>
      <c r="PVJ93" s="456" t="s">
        <v>116</v>
      </c>
      <c r="PVK93" s="456" t="s">
        <v>116</v>
      </c>
      <c r="PVL93" s="456" t="s">
        <v>116</v>
      </c>
      <c r="PVM93" s="456" t="s">
        <v>116</v>
      </c>
      <c r="PVN93" s="456" t="s">
        <v>116</v>
      </c>
      <c r="PVO93" s="456" t="s">
        <v>116</v>
      </c>
      <c r="PVP93" s="456" t="s">
        <v>116</v>
      </c>
      <c r="PVQ93" s="456" t="s">
        <v>116</v>
      </c>
      <c r="PVR93" s="456" t="s">
        <v>116</v>
      </c>
      <c r="PVS93" s="456" t="s">
        <v>116</v>
      </c>
      <c r="PVT93" s="456" t="s">
        <v>116</v>
      </c>
      <c r="PVU93" s="456" t="s">
        <v>116</v>
      </c>
      <c r="PVV93" s="456" t="s">
        <v>116</v>
      </c>
      <c r="PVW93" s="456" t="s">
        <v>116</v>
      </c>
      <c r="PVX93" s="456" t="s">
        <v>116</v>
      </c>
      <c r="PVY93" s="456" t="s">
        <v>116</v>
      </c>
      <c r="PVZ93" s="456" t="s">
        <v>116</v>
      </c>
      <c r="PWA93" s="456" t="s">
        <v>116</v>
      </c>
      <c r="PWB93" s="456" t="s">
        <v>116</v>
      </c>
      <c r="PWC93" s="456" t="s">
        <v>116</v>
      </c>
      <c r="PWD93" s="456" t="s">
        <v>116</v>
      </c>
      <c r="PWE93" s="456" t="s">
        <v>116</v>
      </c>
      <c r="PWF93" s="456" t="s">
        <v>116</v>
      </c>
      <c r="PWG93" s="456" t="s">
        <v>116</v>
      </c>
      <c r="PWH93" s="456" t="s">
        <v>116</v>
      </c>
      <c r="PWI93" s="456" t="s">
        <v>116</v>
      </c>
      <c r="PWJ93" s="456" t="s">
        <v>116</v>
      </c>
      <c r="PWK93" s="456" t="s">
        <v>116</v>
      </c>
      <c r="PWL93" s="456" t="s">
        <v>116</v>
      </c>
      <c r="PWM93" s="456" t="s">
        <v>116</v>
      </c>
      <c r="PWN93" s="456" t="s">
        <v>116</v>
      </c>
      <c r="PWO93" s="456" t="s">
        <v>116</v>
      </c>
      <c r="PWP93" s="456" t="s">
        <v>116</v>
      </c>
      <c r="PWQ93" s="456" t="s">
        <v>116</v>
      </c>
      <c r="PWR93" s="456" t="s">
        <v>116</v>
      </c>
      <c r="PWS93" s="456" t="s">
        <v>116</v>
      </c>
      <c r="PWT93" s="456" t="s">
        <v>116</v>
      </c>
      <c r="PWU93" s="456" t="s">
        <v>116</v>
      </c>
      <c r="PWV93" s="456" t="s">
        <v>116</v>
      </c>
      <c r="PWW93" s="456" t="s">
        <v>116</v>
      </c>
      <c r="PWX93" s="456" t="s">
        <v>116</v>
      </c>
      <c r="PWY93" s="456" t="s">
        <v>116</v>
      </c>
      <c r="PWZ93" s="456" t="s">
        <v>116</v>
      </c>
      <c r="PXA93" s="456" t="s">
        <v>116</v>
      </c>
      <c r="PXB93" s="456" t="s">
        <v>116</v>
      </c>
      <c r="PXC93" s="456" t="s">
        <v>116</v>
      </c>
      <c r="PXD93" s="456" t="s">
        <v>116</v>
      </c>
      <c r="PXE93" s="456" t="s">
        <v>116</v>
      </c>
      <c r="PXF93" s="456" t="s">
        <v>116</v>
      </c>
      <c r="PXG93" s="456" t="s">
        <v>116</v>
      </c>
      <c r="PXH93" s="456" t="s">
        <v>116</v>
      </c>
      <c r="PXI93" s="456" t="s">
        <v>116</v>
      </c>
      <c r="PXJ93" s="456" t="s">
        <v>116</v>
      </c>
      <c r="PXK93" s="456" t="s">
        <v>116</v>
      </c>
      <c r="PXL93" s="456" t="s">
        <v>116</v>
      </c>
      <c r="PXM93" s="456" t="s">
        <v>116</v>
      </c>
      <c r="PXN93" s="456" t="s">
        <v>116</v>
      </c>
      <c r="PXO93" s="456" t="s">
        <v>116</v>
      </c>
      <c r="PXP93" s="456" t="s">
        <v>116</v>
      </c>
      <c r="PXQ93" s="456" t="s">
        <v>116</v>
      </c>
      <c r="PXR93" s="456" t="s">
        <v>116</v>
      </c>
      <c r="PXS93" s="456" t="s">
        <v>116</v>
      </c>
      <c r="PXT93" s="456" t="s">
        <v>116</v>
      </c>
      <c r="PXU93" s="456" t="s">
        <v>116</v>
      </c>
      <c r="PXV93" s="456" t="s">
        <v>116</v>
      </c>
      <c r="PXW93" s="456" t="s">
        <v>116</v>
      </c>
      <c r="PXX93" s="456" t="s">
        <v>116</v>
      </c>
      <c r="PXY93" s="456" t="s">
        <v>116</v>
      </c>
      <c r="PXZ93" s="456" t="s">
        <v>116</v>
      </c>
      <c r="PYA93" s="456" t="s">
        <v>116</v>
      </c>
      <c r="PYB93" s="456" t="s">
        <v>116</v>
      </c>
      <c r="PYC93" s="456" t="s">
        <v>116</v>
      </c>
      <c r="PYD93" s="456" t="s">
        <v>116</v>
      </c>
      <c r="PYE93" s="456" t="s">
        <v>116</v>
      </c>
      <c r="PYF93" s="456" t="s">
        <v>116</v>
      </c>
      <c r="PYG93" s="456" t="s">
        <v>116</v>
      </c>
      <c r="PYH93" s="456" t="s">
        <v>116</v>
      </c>
      <c r="PYI93" s="456" t="s">
        <v>116</v>
      </c>
      <c r="PYJ93" s="456" t="s">
        <v>116</v>
      </c>
      <c r="PYK93" s="456" t="s">
        <v>116</v>
      </c>
      <c r="PYL93" s="456" t="s">
        <v>116</v>
      </c>
      <c r="PYM93" s="456" t="s">
        <v>116</v>
      </c>
      <c r="PYN93" s="456" t="s">
        <v>116</v>
      </c>
      <c r="PYO93" s="456" t="s">
        <v>116</v>
      </c>
      <c r="PYP93" s="456" t="s">
        <v>116</v>
      </c>
      <c r="PYQ93" s="456" t="s">
        <v>116</v>
      </c>
      <c r="PYR93" s="456" t="s">
        <v>116</v>
      </c>
      <c r="PYS93" s="456" t="s">
        <v>116</v>
      </c>
      <c r="PYT93" s="456" t="s">
        <v>116</v>
      </c>
      <c r="PYU93" s="456" t="s">
        <v>116</v>
      </c>
      <c r="PYV93" s="456" t="s">
        <v>116</v>
      </c>
      <c r="PYW93" s="456" t="s">
        <v>116</v>
      </c>
      <c r="PYX93" s="456" t="s">
        <v>116</v>
      </c>
      <c r="PYY93" s="456" t="s">
        <v>116</v>
      </c>
      <c r="PYZ93" s="456" t="s">
        <v>116</v>
      </c>
      <c r="PZA93" s="456" t="s">
        <v>116</v>
      </c>
      <c r="PZB93" s="456" t="s">
        <v>116</v>
      </c>
      <c r="PZC93" s="456" t="s">
        <v>116</v>
      </c>
      <c r="PZD93" s="456" t="s">
        <v>116</v>
      </c>
      <c r="PZE93" s="456" t="s">
        <v>116</v>
      </c>
      <c r="PZF93" s="456" t="s">
        <v>116</v>
      </c>
      <c r="PZG93" s="456" t="s">
        <v>116</v>
      </c>
      <c r="PZH93" s="456" t="s">
        <v>116</v>
      </c>
      <c r="PZI93" s="456" t="s">
        <v>116</v>
      </c>
      <c r="PZJ93" s="456" t="s">
        <v>116</v>
      </c>
      <c r="PZK93" s="456" t="s">
        <v>116</v>
      </c>
      <c r="PZL93" s="456" t="s">
        <v>116</v>
      </c>
      <c r="PZM93" s="456" t="s">
        <v>116</v>
      </c>
      <c r="PZN93" s="456" t="s">
        <v>116</v>
      </c>
      <c r="PZO93" s="456" t="s">
        <v>116</v>
      </c>
      <c r="PZP93" s="456" t="s">
        <v>116</v>
      </c>
      <c r="PZQ93" s="456" t="s">
        <v>116</v>
      </c>
      <c r="PZR93" s="456" t="s">
        <v>116</v>
      </c>
      <c r="PZS93" s="456" t="s">
        <v>116</v>
      </c>
      <c r="PZT93" s="456" t="s">
        <v>116</v>
      </c>
      <c r="PZU93" s="456" t="s">
        <v>116</v>
      </c>
      <c r="PZV93" s="456" t="s">
        <v>116</v>
      </c>
      <c r="PZW93" s="456" t="s">
        <v>116</v>
      </c>
      <c r="PZX93" s="456" t="s">
        <v>116</v>
      </c>
      <c r="PZY93" s="456" t="s">
        <v>116</v>
      </c>
      <c r="PZZ93" s="456" t="s">
        <v>116</v>
      </c>
      <c r="QAA93" s="456" t="s">
        <v>116</v>
      </c>
      <c r="QAB93" s="456" t="s">
        <v>116</v>
      </c>
      <c r="QAC93" s="456" t="s">
        <v>116</v>
      </c>
      <c r="QAD93" s="456" t="s">
        <v>116</v>
      </c>
      <c r="QAE93" s="456" t="s">
        <v>116</v>
      </c>
      <c r="QAF93" s="456" t="s">
        <v>116</v>
      </c>
      <c r="QAG93" s="456" t="s">
        <v>116</v>
      </c>
      <c r="QAH93" s="456" t="s">
        <v>116</v>
      </c>
      <c r="QAI93" s="456" t="s">
        <v>116</v>
      </c>
      <c r="QAJ93" s="456" t="s">
        <v>116</v>
      </c>
      <c r="QAK93" s="456" t="s">
        <v>116</v>
      </c>
      <c r="QAL93" s="456" t="s">
        <v>116</v>
      </c>
      <c r="QAM93" s="456" t="s">
        <v>116</v>
      </c>
      <c r="QAN93" s="456" t="s">
        <v>116</v>
      </c>
      <c r="QAO93" s="456" t="s">
        <v>116</v>
      </c>
      <c r="QAP93" s="456" t="s">
        <v>116</v>
      </c>
      <c r="QAQ93" s="456" t="s">
        <v>116</v>
      </c>
      <c r="QAR93" s="456" t="s">
        <v>116</v>
      </c>
      <c r="QAS93" s="456" t="s">
        <v>116</v>
      </c>
      <c r="QAT93" s="456" t="s">
        <v>116</v>
      </c>
      <c r="QAU93" s="456" t="s">
        <v>116</v>
      </c>
      <c r="QAV93" s="456" t="s">
        <v>116</v>
      </c>
      <c r="QAW93" s="456" t="s">
        <v>116</v>
      </c>
      <c r="QAX93" s="456" t="s">
        <v>116</v>
      </c>
      <c r="QAY93" s="456" t="s">
        <v>116</v>
      </c>
      <c r="QAZ93" s="456" t="s">
        <v>116</v>
      </c>
      <c r="QBA93" s="456" t="s">
        <v>116</v>
      </c>
      <c r="QBB93" s="456" t="s">
        <v>116</v>
      </c>
      <c r="QBC93" s="456" t="s">
        <v>116</v>
      </c>
      <c r="QBD93" s="456" t="s">
        <v>116</v>
      </c>
      <c r="QBE93" s="456" t="s">
        <v>116</v>
      </c>
      <c r="QBF93" s="456" t="s">
        <v>116</v>
      </c>
      <c r="QBG93" s="456" t="s">
        <v>116</v>
      </c>
      <c r="QBH93" s="456" t="s">
        <v>116</v>
      </c>
      <c r="QBI93" s="456" t="s">
        <v>116</v>
      </c>
      <c r="QBJ93" s="456" t="s">
        <v>116</v>
      </c>
      <c r="QBK93" s="456" t="s">
        <v>116</v>
      </c>
      <c r="QBL93" s="456" t="s">
        <v>116</v>
      </c>
      <c r="QBM93" s="456" t="s">
        <v>116</v>
      </c>
      <c r="QBN93" s="456" t="s">
        <v>116</v>
      </c>
      <c r="QBO93" s="456" t="s">
        <v>116</v>
      </c>
      <c r="QBP93" s="456" t="s">
        <v>116</v>
      </c>
      <c r="QBQ93" s="456" t="s">
        <v>116</v>
      </c>
      <c r="QBR93" s="456" t="s">
        <v>116</v>
      </c>
      <c r="QBS93" s="456" t="s">
        <v>116</v>
      </c>
      <c r="QBT93" s="456" t="s">
        <v>116</v>
      </c>
      <c r="QBU93" s="456" t="s">
        <v>116</v>
      </c>
      <c r="QBV93" s="456" t="s">
        <v>116</v>
      </c>
      <c r="QBW93" s="456" t="s">
        <v>116</v>
      </c>
      <c r="QBX93" s="456" t="s">
        <v>116</v>
      </c>
      <c r="QBY93" s="456" t="s">
        <v>116</v>
      </c>
      <c r="QBZ93" s="456" t="s">
        <v>116</v>
      </c>
      <c r="QCA93" s="456" t="s">
        <v>116</v>
      </c>
      <c r="QCB93" s="456" t="s">
        <v>116</v>
      </c>
      <c r="QCC93" s="456" t="s">
        <v>116</v>
      </c>
      <c r="QCD93" s="456" t="s">
        <v>116</v>
      </c>
      <c r="QCE93" s="456" t="s">
        <v>116</v>
      </c>
      <c r="QCF93" s="456" t="s">
        <v>116</v>
      </c>
      <c r="QCG93" s="456" t="s">
        <v>116</v>
      </c>
      <c r="QCH93" s="456" t="s">
        <v>116</v>
      </c>
      <c r="QCI93" s="456" t="s">
        <v>116</v>
      </c>
      <c r="QCJ93" s="456" t="s">
        <v>116</v>
      </c>
      <c r="QCK93" s="456" t="s">
        <v>116</v>
      </c>
      <c r="QCL93" s="456" t="s">
        <v>116</v>
      </c>
      <c r="QCM93" s="456" t="s">
        <v>116</v>
      </c>
      <c r="QCN93" s="456" t="s">
        <v>116</v>
      </c>
      <c r="QCO93" s="456" t="s">
        <v>116</v>
      </c>
      <c r="QCP93" s="456" t="s">
        <v>116</v>
      </c>
      <c r="QCQ93" s="456" t="s">
        <v>116</v>
      </c>
      <c r="QCR93" s="456" t="s">
        <v>116</v>
      </c>
      <c r="QCS93" s="456" t="s">
        <v>116</v>
      </c>
      <c r="QCT93" s="456" t="s">
        <v>116</v>
      </c>
      <c r="QCU93" s="456" t="s">
        <v>116</v>
      </c>
      <c r="QCV93" s="456" t="s">
        <v>116</v>
      </c>
      <c r="QCW93" s="456" t="s">
        <v>116</v>
      </c>
      <c r="QCX93" s="456" t="s">
        <v>116</v>
      </c>
      <c r="QCY93" s="456" t="s">
        <v>116</v>
      </c>
      <c r="QCZ93" s="456" t="s">
        <v>116</v>
      </c>
      <c r="QDA93" s="456" t="s">
        <v>116</v>
      </c>
      <c r="QDB93" s="456" t="s">
        <v>116</v>
      </c>
      <c r="QDC93" s="456" t="s">
        <v>116</v>
      </c>
      <c r="QDD93" s="456" t="s">
        <v>116</v>
      </c>
      <c r="QDE93" s="456" t="s">
        <v>116</v>
      </c>
      <c r="QDF93" s="456" t="s">
        <v>116</v>
      </c>
      <c r="QDG93" s="456" t="s">
        <v>116</v>
      </c>
      <c r="QDH93" s="456" t="s">
        <v>116</v>
      </c>
      <c r="QDI93" s="456" t="s">
        <v>116</v>
      </c>
      <c r="QDJ93" s="456" t="s">
        <v>116</v>
      </c>
      <c r="QDK93" s="456" t="s">
        <v>116</v>
      </c>
      <c r="QDL93" s="456" t="s">
        <v>116</v>
      </c>
      <c r="QDM93" s="456" t="s">
        <v>116</v>
      </c>
      <c r="QDN93" s="456" t="s">
        <v>116</v>
      </c>
      <c r="QDO93" s="456" t="s">
        <v>116</v>
      </c>
      <c r="QDP93" s="456" t="s">
        <v>116</v>
      </c>
      <c r="QDQ93" s="456" t="s">
        <v>116</v>
      </c>
      <c r="QDR93" s="456" t="s">
        <v>116</v>
      </c>
      <c r="QDS93" s="456" t="s">
        <v>116</v>
      </c>
      <c r="QDT93" s="456" t="s">
        <v>116</v>
      </c>
      <c r="QDU93" s="456" t="s">
        <v>116</v>
      </c>
      <c r="QDV93" s="456" t="s">
        <v>116</v>
      </c>
      <c r="QDW93" s="456" t="s">
        <v>116</v>
      </c>
      <c r="QDX93" s="456" t="s">
        <v>116</v>
      </c>
      <c r="QDY93" s="456" t="s">
        <v>116</v>
      </c>
      <c r="QDZ93" s="456" t="s">
        <v>116</v>
      </c>
      <c r="QEA93" s="456" t="s">
        <v>116</v>
      </c>
      <c r="QEB93" s="456" t="s">
        <v>116</v>
      </c>
      <c r="QEC93" s="456" t="s">
        <v>116</v>
      </c>
      <c r="QED93" s="456" t="s">
        <v>116</v>
      </c>
      <c r="QEE93" s="456" t="s">
        <v>116</v>
      </c>
      <c r="QEF93" s="456" t="s">
        <v>116</v>
      </c>
      <c r="QEG93" s="456" t="s">
        <v>116</v>
      </c>
      <c r="QEH93" s="456" t="s">
        <v>116</v>
      </c>
      <c r="QEI93" s="456" t="s">
        <v>116</v>
      </c>
      <c r="QEJ93" s="456" t="s">
        <v>116</v>
      </c>
      <c r="QEK93" s="456" t="s">
        <v>116</v>
      </c>
      <c r="QEL93" s="456" t="s">
        <v>116</v>
      </c>
      <c r="QEM93" s="456" t="s">
        <v>116</v>
      </c>
      <c r="QEN93" s="456" t="s">
        <v>116</v>
      </c>
      <c r="QEO93" s="456" t="s">
        <v>116</v>
      </c>
      <c r="QEP93" s="456" t="s">
        <v>116</v>
      </c>
      <c r="QEQ93" s="456" t="s">
        <v>116</v>
      </c>
      <c r="QER93" s="456" t="s">
        <v>116</v>
      </c>
      <c r="QES93" s="456" t="s">
        <v>116</v>
      </c>
      <c r="QET93" s="456" t="s">
        <v>116</v>
      </c>
      <c r="QEU93" s="456" t="s">
        <v>116</v>
      </c>
      <c r="QEV93" s="456" t="s">
        <v>116</v>
      </c>
      <c r="QEW93" s="456" t="s">
        <v>116</v>
      </c>
      <c r="QEX93" s="456" t="s">
        <v>116</v>
      </c>
      <c r="QEY93" s="456" t="s">
        <v>116</v>
      </c>
      <c r="QEZ93" s="456" t="s">
        <v>116</v>
      </c>
      <c r="QFA93" s="456" t="s">
        <v>116</v>
      </c>
      <c r="QFB93" s="456" t="s">
        <v>116</v>
      </c>
      <c r="QFC93" s="456" t="s">
        <v>116</v>
      </c>
      <c r="QFD93" s="456" t="s">
        <v>116</v>
      </c>
      <c r="QFE93" s="456" t="s">
        <v>116</v>
      </c>
      <c r="QFF93" s="456" t="s">
        <v>116</v>
      </c>
      <c r="QFG93" s="456" t="s">
        <v>116</v>
      </c>
      <c r="QFH93" s="456" t="s">
        <v>116</v>
      </c>
      <c r="QFI93" s="456" t="s">
        <v>116</v>
      </c>
      <c r="QFJ93" s="456" t="s">
        <v>116</v>
      </c>
      <c r="QFK93" s="456" t="s">
        <v>116</v>
      </c>
      <c r="QFL93" s="456" t="s">
        <v>116</v>
      </c>
      <c r="QFM93" s="456" t="s">
        <v>116</v>
      </c>
      <c r="QFN93" s="456" t="s">
        <v>116</v>
      </c>
      <c r="QFO93" s="456" t="s">
        <v>116</v>
      </c>
      <c r="QFP93" s="456" t="s">
        <v>116</v>
      </c>
      <c r="QFQ93" s="456" t="s">
        <v>116</v>
      </c>
      <c r="QFR93" s="456" t="s">
        <v>116</v>
      </c>
      <c r="QFS93" s="456" t="s">
        <v>116</v>
      </c>
      <c r="QFT93" s="456" t="s">
        <v>116</v>
      </c>
      <c r="QFU93" s="456" t="s">
        <v>116</v>
      </c>
      <c r="QFV93" s="456" t="s">
        <v>116</v>
      </c>
      <c r="QFW93" s="456" t="s">
        <v>116</v>
      </c>
      <c r="QFX93" s="456" t="s">
        <v>116</v>
      </c>
      <c r="QFY93" s="456" t="s">
        <v>116</v>
      </c>
      <c r="QFZ93" s="456" t="s">
        <v>116</v>
      </c>
      <c r="QGA93" s="456" t="s">
        <v>116</v>
      </c>
      <c r="QGB93" s="456" t="s">
        <v>116</v>
      </c>
      <c r="QGC93" s="456" t="s">
        <v>116</v>
      </c>
      <c r="QGD93" s="456" t="s">
        <v>116</v>
      </c>
      <c r="QGE93" s="456" t="s">
        <v>116</v>
      </c>
      <c r="QGF93" s="456" t="s">
        <v>116</v>
      </c>
      <c r="QGG93" s="456" t="s">
        <v>116</v>
      </c>
      <c r="QGH93" s="456" t="s">
        <v>116</v>
      </c>
      <c r="QGI93" s="456" t="s">
        <v>116</v>
      </c>
      <c r="QGJ93" s="456" t="s">
        <v>116</v>
      </c>
      <c r="QGK93" s="456" t="s">
        <v>116</v>
      </c>
      <c r="QGL93" s="456" t="s">
        <v>116</v>
      </c>
      <c r="QGM93" s="456" t="s">
        <v>116</v>
      </c>
      <c r="QGN93" s="456" t="s">
        <v>116</v>
      </c>
      <c r="QGO93" s="456" t="s">
        <v>116</v>
      </c>
      <c r="QGP93" s="456" t="s">
        <v>116</v>
      </c>
      <c r="QGQ93" s="456" t="s">
        <v>116</v>
      </c>
      <c r="QGR93" s="456" t="s">
        <v>116</v>
      </c>
      <c r="QGS93" s="456" t="s">
        <v>116</v>
      </c>
      <c r="QGT93" s="456" t="s">
        <v>116</v>
      </c>
      <c r="QGU93" s="456" t="s">
        <v>116</v>
      </c>
      <c r="QGV93" s="456" t="s">
        <v>116</v>
      </c>
      <c r="QGW93" s="456" t="s">
        <v>116</v>
      </c>
      <c r="QGX93" s="456" t="s">
        <v>116</v>
      </c>
      <c r="QGY93" s="456" t="s">
        <v>116</v>
      </c>
      <c r="QGZ93" s="456" t="s">
        <v>116</v>
      </c>
      <c r="QHA93" s="456" t="s">
        <v>116</v>
      </c>
      <c r="QHB93" s="456" t="s">
        <v>116</v>
      </c>
      <c r="QHC93" s="456" t="s">
        <v>116</v>
      </c>
      <c r="QHD93" s="456" t="s">
        <v>116</v>
      </c>
      <c r="QHE93" s="456" t="s">
        <v>116</v>
      </c>
      <c r="QHF93" s="456" t="s">
        <v>116</v>
      </c>
      <c r="QHG93" s="456" t="s">
        <v>116</v>
      </c>
      <c r="QHH93" s="456" t="s">
        <v>116</v>
      </c>
      <c r="QHI93" s="456" t="s">
        <v>116</v>
      </c>
      <c r="QHJ93" s="456" t="s">
        <v>116</v>
      </c>
      <c r="QHK93" s="456" t="s">
        <v>116</v>
      </c>
      <c r="QHL93" s="456" t="s">
        <v>116</v>
      </c>
      <c r="QHM93" s="456" t="s">
        <v>116</v>
      </c>
      <c r="QHN93" s="456" t="s">
        <v>116</v>
      </c>
      <c r="QHO93" s="456" t="s">
        <v>116</v>
      </c>
      <c r="QHP93" s="456" t="s">
        <v>116</v>
      </c>
      <c r="QHQ93" s="456" t="s">
        <v>116</v>
      </c>
      <c r="QHR93" s="456" t="s">
        <v>116</v>
      </c>
      <c r="QHS93" s="456" t="s">
        <v>116</v>
      </c>
      <c r="QHT93" s="456" t="s">
        <v>116</v>
      </c>
      <c r="QHU93" s="456" t="s">
        <v>116</v>
      </c>
      <c r="QHV93" s="456" t="s">
        <v>116</v>
      </c>
      <c r="QHW93" s="456" t="s">
        <v>116</v>
      </c>
      <c r="QHX93" s="456" t="s">
        <v>116</v>
      </c>
      <c r="QHY93" s="456" t="s">
        <v>116</v>
      </c>
      <c r="QHZ93" s="456" t="s">
        <v>116</v>
      </c>
      <c r="QIA93" s="456" t="s">
        <v>116</v>
      </c>
      <c r="QIB93" s="456" t="s">
        <v>116</v>
      </c>
      <c r="QIC93" s="456" t="s">
        <v>116</v>
      </c>
      <c r="QID93" s="456" t="s">
        <v>116</v>
      </c>
      <c r="QIE93" s="456" t="s">
        <v>116</v>
      </c>
      <c r="QIF93" s="456" t="s">
        <v>116</v>
      </c>
      <c r="QIG93" s="456" t="s">
        <v>116</v>
      </c>
      <c r="QIH93" s="456" t="s">
        <v>116</v>
      </c>
      <c r="QII93" s="456" t="s">
        <v>116</v>
      </c>
      <c r="QIJ93" s="456" t="s">
        <v>116</v>
      </c>
      <c r="QIK93" s="456" t="s">
        <v>116</v>
      </c>
      <c r="QIL93" s="456" t="s">
        <v>116</v>
      </c>
      <c r="QIM93" s="456" t="s">
        <v>116</v>
      </c>
      <c r="QIN93" s="456" t="s">
        <v>116</v>
      </c>
      <c r="QIO93" s="456" t="s">
        <v>116</v>
      </c>
      <c r="QIP93" s="456" t="s">
        <v>116</v>
      </c>
      <c r="QIQ93" s="456" t="s">
        <v>116</v>
      </c>
      <c r="QIR93" s="456" t="s">
        <v>116</v>
      </c>
      <c r="QIS93" s="456" t="s">
        <v>116</v>
      </c>
      <c r="QIT93" s="456" t="s">
        <v>116</v>
      </c>
      <c r="QIU93" s="456" t="s">
        <v>116</v>
      </c>
      <c r="QIV93" s="456" t="s">
        <v>116</v>
      </c>
      <c r="QIW93" s="456" t="s">
        <v>116</v>
      </c>
      <c r="QIX93" s="456" t="s">
        <v>116</v>
      </c>
      <c r="QIY93" s="456" t="s">
        <v>116</v>
      </c>
      <c r="QIZ93" s="456" t="s">
        <v>116</v>
      </c>
      <c r="QJA93" s="456" t="s">
        <v>116</v>
      </c>
      <c r="QJB93" s="456" t="s">
        <v>116</v>
      </c>
      <c r="QJC93" s="456" t="s">
        <v>116</v>
      </c>
      <c r="QJD93" s="456" t="s">
        <v>116</v>
      </c>
      <c r="QJE93" s="456" t="s">
        <v>116</v>
      </c>
      <c r="QJF93" s="456" t="s">
        <v>116</v>
      </c>
      <c r="QJG93" s="456" t="s">
        <v>116</v>
      </c>
      <c r="QJH93" s="456" t="s">
        <v>116</v>
      </c>
      <c r="QJI93" s="456" t="s">
        <v>116</v>
      </c>
      <c r="QJJ93" s="456" t="s">
        <v>116</v>
      </c>
      <c r="QJK93" s="456" t="s">
        <v>116</v>
      </c>
      <c r="QJL93" s="456" t="s">
        <v>116</v>
      </c>
      <c r="QJM93" s="456" t="s">
        <v>116</v>
      </c>
      <c r="QJN93" s="456" t="s">
        <v>116</v>
      </c>
      <c r="QJO93" s="456" t="s">
        <v>116</v>
      </c>
      <c r="QJP93" s="456" t="s">
        <v>116</v>
      </c>
      <c r="QJQ93" s="456" t="s">
        <v>116</v>
      </c>
      <c r="QJR93" s="456" t="s">
        <v>116</v>
      </c>
      <c r="QJS93" s="456" t="s">
        <v>116</v>
      </c>
      <c r="QJT93" s="456" t="s">
        <v>116</v>
      </c>
      <c r="QJU93" s="456" t="s">
        <v>116</v>
      </c>
      <c r="QJV93" s="456" t="s">
        <v>116</v>
      </c>
      <c r="QJW93" s="456" t="s">
        <v>116</v>
      </c>
      <c r="QJX93" s="456" t="s">
        <v>116</v>
      </c>
      <c r="QJY93" s="456" t="s">
        <v>116</v>
      </c>
      <c r="QJZ93" s="456" t="s">
        <v>116</v>
      </c>
      <c r="QKA93" s="456" t="s">
        <v>116</v>
      </c>
      <c r="QKB93" s="456" t="s">
        <v>116</v>
      </c>
      <c r="QKC93" s="456" t="s">
        <v>116</v>
      </c>
      <c r="QKD93" s="456" t="s">
        <v>116</v>
      </c>
      <c r="QKE93" s="456" t="s">
        <v>116</v>
      </c>
      <c r="QKF93" s="456" t="s">
        <v>116</v>
      </c>
      <c r="QKG93" s="456" t="s">
        <v>116</v>
      </c>
      <c r="QKH93" s="456" t="s">
        <v>116</v>
      </c>
      <c r="QKI93" s="456" t="s">
        <v>116</v>
      </c>
      <c r="QKJ93" s="456" t="s">
        <v>116</v>
      </c>
      <c r="QKK93" s="456" t="s">
        <v>116</v>
      </c>
      <c r="QKL93" s="456" t="s">
        <v>116</v>
      </c>
      <c r="QKM93" s="456" t="s">
        <v>116</v>
      </c>
      <c r="QKN93" s="456" t="s">
        <v>116</v>
      </c>
      <c r="QKO93" s="456" t="s">
        <v>116</v>
      </c>
      <c r="QKP93" s="456" t="s">
        <v>116</v>
      </c>
      <c r="QKQ93" s="456" t="s">
        <v>116</v>
      </c>
      <c r="QKR93" s="456" t="s">
        <v>116</v>
      </c>
      <c r="QKS93" s="456" t="s">
        <v>116</v>
      </c>
      <c r="QKT93" s="456" t="s">
        <v>116</v>
      </c>
      <c r="QKU93" s="456" t="s">
        <v>116</v>
      </c>
      <c r="QKV93" s="456" t="s">
        <v>116</v>
      </c>
      <c r="QKW93" s="456" t="s">
        <v>116</v>
      </c>
      <c r="QKX93" s="456" t="s">
        <v>116</v>
      </c>
      <c r="QKY93" s="456" t="s">
        <v>116</v>
      </c>
      <c r="QKZ93" s="456" t="s">
        <v>116</v>
      </c>
      <c r="QLA93" s="456" t="s">
        <v>116</v>
      </c>
      <c r="QLB93" s="456" t="s">
        <v>116</v>
      </c>
      <c r="QLC93" s="456" t="s">
        <v>116</v>
      </c>
      <c r="QLD93" s="456" t="s">
        <v>116</v>
      </c>
      <c r="QLE93" s="456" t="s">
        <v>116</v>
      </c>
      <c r="QLF93" s="456" t="s">
        <v>116</v>
      </c>
      <c r="QLG93" s="456" t="s">
        <v>116</v>
      </c>
      <c r="QLH93" s="456" t="s">
        <v>116</v>
      </c>
      <c r="QLI93" s="456" t="s">
        <v>116</v>
      </c>
      <c r="QLJ93" s="456" t="s">
        <v>116</v>
      </c>
      <c r="QLK93" s="456" t="s">
        <v>116</v>
      </c>
      <c r="QLL93" s="456" t="s">
        <v>116</v>
      </c>
      <c r="QLM93" s="456" t="s">
        <v>116</v>
      </c>
      <c r="QLN93" s="456" t="s">
        <v>116</v>
      </c>
      <c r="QLO93" s="456" t="s">
        <v>116</v>
      </c>
      <c r="QLP93" s="456" t="s">
        <v>116</v>
      </c>
      <c r="QLQ93" s="456" t="s">
        <v>116</v>
      </c>
      <c r="QLR93" s="456" t="s">
        <v>116</v>
      </c>
      <c r="QLS93" s="456" t="s">
        <v>116</v>
      </c>
      <c r="QLT93" s="456" t="s">
        <v>116</v>
      </c>
      <c r="QLU93" s="456" t="s">
        <v>116</v>
      </c>
      <c r="QLV93" s="456" t="s">
        <v>116</v>
      </c>
      <c r="QLW93" s="456" t="s">
        <v>116</v>
      </c>
      <c r="QLX93" s="456" t="s">
        <v>116</v>
      </c>
      <c r="QLY93" s="456" t="s">
        <v>116</v>
      </c>
      <c r="QLZ93" s="456" t="s">
        <v>116</v>
      </c>
      <c r="QMA93" s="456" t="s">
        <v>116</v>
      </c>
      <c r="QMB93" s="456" t="s">
        <v>116</v>
      </c>
      <c r="QMC93" s="456" t="s">
        <v>116</v>
      </c>
      <c r="QMD93" s="456" t="s">
        <v>116</v>
      </c>
      <c r="QME93" s="456" t="s">
        <v>116</v>
      </c>
      <c r="QMF93" s="456" t="s">
        <v>116</v>
      </c>
      <c r="QMG93" s="456" t="s">
        <v>116</v>
      </c>
      <c r="QMH93" s="456" t="s">
        <v>116</v>
      </c>
      <c r="QMI93" s="456" t="s">
        <v>116</v>
      </c>
      <c r="QMJ93" s="456" t="s">
        <v>116</v>
      </c>
      <c r="QMK93" s="456" t="s">
        <v>116</v>
      </c>
      <c r="QML93" s="456" t="s">
        <v>116</v>
      </c>
      <c r="QMM93" s="456" t="s">
        <v>116</v>
      </c>
      <c r="QMN93" s="456" t="s">
        <v>116</v>
      </c>
      <c r="QMO93" s="456" t="s">
        <v>116</v>
      </c>
      <c r="QMP93" s="456" t="s">
        <v>116</v>
      </c>
      <c r="QMQ93" s="456" t="s">
        <v>116</v>
      </c>
      <c r="QMR93" s="456" t="s">
        <v>116</v>
      </c>
      <c r="QMS93" s="456" t="s">
        <v>116</v>
      </c>
      <c r="QMT93" s="456" t="s">
        <v>116</v>
      </c>
      <c r="QMU93" s="456" t="s">
        <v>116</v>
      </c>
      <c r="QMV93" s="456" t="s">
        <v>116</v>
      </c>
      <c r="QMW93" s="456" t="s">
        <v>116</v>
      </c>
      <c r="QMX93" s="456" t="s">
        <v>116</v>
      </c>
      <c r="QMY93" s="456" t="s">
        <v>116</v>
      </c>
      <c r="QMZ93" s="456" t="s">
        <v>116</v>
      </c>
      <c r="QNA93" s="456" t="s">
        <v>116</v>
      </c>
      <c r="QNB93" s="456" t="s">
        <v>116</v>
      </c>
      <c r="QNC93" s="456" t="s">
        <v>116</v>
      </c>
      <c r="QND93" s="456" t="s">
        <v>116</v>
      </c>
      <c r="QNE93" s="456" t="s">
        <v>116</v>
      </c>
      <c r="QNF93" s="456" t="s">
        <v>116</v>
      </c>
      <c r="QNG93" s="456" t="s">
        <v>116</v>
      </c>
      <c r="QNH93" s="456" t="s">
        <v>116</v>
      </c>
      <c r="QNI93" s="456" t="s">
        <v>116</v>
      </c>
      <c r="QNJ93" s="456" t="s">
        <v>116</v>
      </c>
      <c r="QNK93" s="456" t="s">
        <v>116</v>
      </c>
      <c r="QNL93" s="456" t="s">
        <v>116</v>
      </c>
      <c r="QNM93" s="456" t="s">
        <v>116</v>
      </c>
      <c r="QNN93" s="456" t="s">
        <v>116</v>
      </c>
      <c r="QNO93" s="456" t="s">
        <v>116</v>
      </c>
      <c r="QNP93" s="456" t="s">
        <v>116</v>
      </c>
      <c r="QNQ93" s="456" t="s">
        <v>116</v>
      </c>
      <c r="QNR93" s="456" t="s">
        <v>116</v>
      </c>
      <c r="QNS93" s="456" t="s">
        <v>116</v>
      </c>
      <c r="QNT93" s="456" t="s">
        <v>116</v>
      </c>
      <c r="QNU93" s="456" t="s">
        <v>116</v>
      </c>
      <c r="QNV93" s="456" t="s">
        <v>116</v>
      </c>
      <c r="QNW93" s="456" t="s">
        <v>116</v>
      </c>
      <c r="QNX93" s="456" t="s">
        <v>116</v>
      </c>
      <c r="QNY93" s="456" t="s">
        <v>116</v>
      </c>
      <c r="QNZ93" s="456" t="s">
        <v>116</v>
      </c>
      <c r="QOA93" s="456" t="s">
        <v>116</v>
      </c>
      <c r="QOB93" s="456" t="s">
        <v>116</v>
      </c>
      <c r="QOC93" s="456" t="s">
        <v>116</v>
      </c>
      <c r="QOD93" s="456" t="s">
        <v>116</v>
      </c>
      <c r="QOE93" s="456" t="s">
        <v>116</v>
      </c>
      <c r="QOF93" s="456" t="s">
        <v>116</v>
      </c>
      <c r="QOG93" s="456" t="s">
        <v>116</v>
      </c>
      <c r="QOH93" s="456" t="s">
        <v>116</v>
      </c>
      <c r="QOI93" s="456" t="s">
        <v>116</v>
      </c>
      <c r="QOJ93" s="456" t="s">
        <v>116</v>
      </c>
      <c r="QOK93" s="456" t="s">
        <v>116</v>
      </c>
      <c r="QOL93" s="456" t="s">
        <v>116</v>
      </c>
      <c r="QOM93" s="456" t="s">
        <v>116</v>
      </c>
      <c r="QON93" s="456" t="s">
        <v>116</v>
      </c>
      <c r="QOO93" s="456" t="s">
        <v>116</v>
      </c>
      <c r="QOP93" s="456" t="s">
        <v>116</v>
      </c>
      <c r="QOQ93" s="456" t="s">
        <v>116</v>
      </c>
      <c r="QOR93" s="456" t="s">
        <v>116</v>
      </c>
      <c r="QOS93" s="456" t="s">
        <v>116</v>
      </c>
      <c r="QOT93" s="456" t="s">
        <v>116</v>
      </c>
      <c r="QOU93" s="456" t="s">
        <v>116</v>
      </c>
      <c r="QOV93" s="456" t="s">
        <v>116</v>
      </c>
      <c r="QOW93" s="456" t="s">
        <v>116</v>
      </c>
      <c r="QOX93" s="456" t="s">
        <v>116</v>
      </c>
      <c r="QOY93" s="456" t="s">
        <v>116</v>
      </c>
      <c r="QOZ93" s="456" t="s">
        <v>116</v>
      </c>
      <c r="QPA93" s="456" t="s">
        <v>116</v>
      </c>
      <c r="QPB93" s="456" t="s">
        <v>116</v>
      </c>
      <c r="QPC93" s="456" t="s">
        <v>116</v>
      </c>
      <c r="QPD93" s="456" t="s">
        <v>116</v>
      </c>
      <c r="QPE93" s="456" t="s">
        <v>116</v>
      </c>
      <c r="QPF93" s="456" t="s">
        <v>116</v>
      </c>
      <c r="QPG93" s="456" t="s">
        <v>116</v>
      </c>
      <c r="QPH93" s="456" t="s">
        <v>116</v>
      </c>
      <c r="QPI93" s="456" t="s">
        <v>116</v>
      </c>
      <c r="QPJ93" s="456" t="s">
        <v>116</v>
      </c>
      <c r="QPK93" s="456" t="s">
        <v>116</v>
      </c>
      <c r="QPL93" s="456" t="s">
        <v>116</v>
      </c>
      <c r="QPM93" s="456" t="s">
        <v>116</v>
      </c>
      <c r="QPN93" s="456" t="s">
        <v>116</v>
      </c>
      <c r="QPO93" s="456" t="s">
        <v>116</v>
      </c>
      <c r="QPP93" s="456" t="s">
        <v>116</v>
      </c>
      <c r="QPQ93" s="456" t="s">
        <v>116</v>
      </c>
      <c r="QPR93" s="456" t="s">
        <v>116</v>
      </c>
      <c r="QPS93" s="456" t="s">
        <v>116</v>
      </c>
      <c r="QPT93" s="456" t="s">
        <v>116</v>
      </c>
      <c r="QPU93" s="456" t="s">
        <v>116</v>
      </c>
      <c r="QPV93" s="456" t="s">
        <v>116</v>
      </c>
      <c r="QPW93" s="456" t="s">
        <v>116</v>
      </c>
      <c r="QPX93" s="456" t="s">
        <v>116</v>
      </c>
      <c r="QPY93" s="456" t="s">
        <v>116</v>
      </c>
      <c r="QPZ93" s="456" t="s">
        <v>116</v>
      </c>
      <c r="QQA93" s="456" t="s">
        <v>116</v>
      </c>
      <c r="QQB93" s="456" t="s">
        <v>116</v>
      </c>
      <c r="QQC93" s="456" t="s">
        <v>116</v>
      </c>
      <c r="QQD93" s="456" t="s">
        <v>116</v>
      </c>
      <c r="QQE93" s="456" t="s">
        <v>116</v>
      </c>
      <c r="QQF93" s="456" t="s">
        <v>116</v>
      </c>
      <c r="QQG93" s="456" t="s">
        <v>116</v>
      </c>
      <c r="QQH93" s="456" t="s">
        <v>116</v>
      </c>
      <c r="QQI93" s="456" t="s">
        <v>116</v>
      </c>
      <c r="QQJ93" s="456" t="s">
        <v>116</v>
      </c>
      <c r="QQK93" s="456" t="s">
        <v>116</v>
      </c>
      <c r="QQL93" s="456" t="s">
        <v>116</v>
      </c>
      <c r="QQM93" s="456" t="s">
        <v>116</v>
      </c>
      <c r="QQN93" s="456" t="s">
        <v>116</v>
      </c>
      <c r="QQO93" s="456" t="s">
        <v>116</v>
      </c>
      <c r="QQP93" s="456" t="s">
        <v>116</v>
      </c>
      <c r="QQQ93" s="456" t="s">
        <v>116</v>
      </c>
      <c r="QQR93" s="456" t="s">
        <v>116</v>
      </c>
      <c r="QQS93" s="456" t="s">
        <v>116</v>
      </c>
      <c r="QQT93" s="456" t="s">
        <v>116</v>
      </c>
      <c r="QQU93" s="456" t="s">
        <v>116</v>
      </c>
      <c r="QQV93" s="456" t="s">
        <v>116</v>
      </c>
      <c r="QQW93" s="456" t="s">
        <v>116</v>
      </c>
      <c r="QQX93" s="456" t="s">
        <v>116</v>
      </c>
      <c r="QQY93" s="456" t="s">
        <v>116</v>
      </c>
      <c r="QQZ93" s="456" t="s">
        <v>116</v>
      </c>
      <c r="QRA93" s="456" t="s">
        <v>116</v>
      </c>
      <c r="QRB93" s="456" t="s">
        <v>116</v>
      </c>
      <c r="QRC93" s="456" t="s">
        <v>116</v>
      </c>
      <c r="QRD93" s="456" t="s">
        <v>116</v>
      </c>
      <c r="QRE93" s="456" t="s">
        <v>116</v>
      </c>
      <c r="QRF93" s="456" t="s">
        <v>116</v>
      </c>
      <c r="QRG93" s="456" t="s">
        <v>116</v>
      </c>
      <c r="QRH93" s="456" t="s">
        <v>116</v>
      </c>
      <c r="QRI93" s="456" t="s">
        <v>116</v>
      </c>
      <c r="QRJ93" s="456" t="s">
        <v>116</v>
      </c>
      <c r="QRK93" s="456" t="s">
        <v>116</v>
      </c>
      <c r="QRL93" s="456" t="s">
        <v>116</v>
      </c>
      <c r="QRM93" s="456" t="s">
        <v>116</v>
      </c>
      <c r="QRN93" s="456" t="s">
        <v>116</v>
      </c>
      <c r="QRO93" s="456" t="s">
        <v>116</v>
      </c>
      <c r="QRP93" s="456" t="s">
        <v>116</v>
      </c>
      <c r="QRQ93" s="456" t="s">
        <v>116</v>
      </c>
      <c r="QRR93" s="456" t="s">
        <v>116</v>
      </c>
      <c r="QRS93" s="456" t="s">
        <v>116</v>
      </c>
      <c r="QRT93" s="456" t="s">
        <v>116</v>
      </c>
      <c r="QRU93" s="456" t="s">
        <v>116</v>
      </c>
      <c r="QRV93" s="456" t="s">
        <v>116</v>
      </c>
      <c r="QRW93" s="456" t="s">
        <v>116</v>
      </c>
      <c r="QRX93" s="456" t="s">
        <v>116</v>
      </c>
      <c r="QRY93" s="456" t="s">
        <v>116</v>
      </c>
      <c r="QRZ93" s="456" t="s">
        <v>116</v>
      </c>
      <c r="QSA93" s="456" t="s">
        <v>116</v>
      </c>
      <c r="QSB93" s="456" t="s">
        <v>116</v>
      </c>
      <c r="QSC93" s="456" t="s">
        <v>116</v>
      </c>
      <c r="QSD93" s="456" t="s">
        <v>116</v>
      </c>
      <c r="QSE93" s="456" t="s">
        <v>116</v>
      </c>
      <c r="QSF93" s="456" t="s">
        <v>116</v>
      </c>
      <c r="QSG93" s="456" t="s">
        <v>116</v>
      </c>
      <c r="QSH93" s="456" t="s">
        <v>116</v>
      </c>
      <c r="QSI93" s="456" t="s">
        <v>116</v>
      </c>
      <c r="QSJ93" s="456" t="s">
        <v>116</v>
      </c>
      <c r="QSK93" s="456" t="s">
        <v>116</v>
      </c>
      <c r="QSL93" s="456" t="s">
        <v>116</v>
      </c>
      <c r="QSM93" s="456" t="s">
        <v>116</v>
      </c>
      <c r="QSN93" s="456" t="s">
        <v>116</v>
      </c>
      <c r="QSO93" s="456" t="s">
        <v>116</v>
      </c>
      <c r="QSP93" s="456" t="s">
        <v>116</v>
      </c>
      <c r="QSQ93" s="456" t="s">
        <v>116</v>
      </c>
      <c r="QSR93" s="456" t="s">
        <v>116</v>
      </c>
      <c r="QSS93" s="456" t="s">
        <v>116</v>
      </c>
      <c r="QST93" s="456" t="s">
        <v>116</v>
      </c>
      <c r="QSU93" s="456" t="s">
        <v>116</v>
      </c>
      <c r="QSV93" s="456" t="s">
        <v>116</v>
      </c>
      <c r="QSW93" s="456" t="s">
        <v>116</v>
      </c>
      <c r="QSX93" s="456" t="s">
        <v>116</v>
      </c>
      <c r="QSY93" s="456" t="s">
        <v>116</v>
      </c>
      <c r="QSZ93" s="456" t="s">
        <v>116</v>
      </c>
      <c r="QTA93" s="456" t="s">
        <v>116</v>
      </c>
      <c r="QTB93" s="456" t="s">
        <v>116</v>
      </c>
      <c r="QTC93" s="456" t="s">
        <v>116</v>
      </c>
      <c r="QTD93" s="456" t="s">
        <v>116</v>
      </c>
      <c r="QTE93" s="456" t="s">
        <v>116</v>
      </c>
      <c r="QTF93" s="456" t="s">
        <v>116</v>
      </c>
      <c r="QTG93" s="456" t="s">
        <v>116</v>
      </c>
      <c r="QTH93" s="456" t="s">
        <v>116</v>
      </c>
      <c r="QTI93" s="456" t="s">
        <v>116</v>
      </c>
      <c r="QTJ93" s="456" t="s">
        <v>116</v>
      </c>
      <c r="QTK93" s="456" t="s">
        <v>116</v>
      </c>
      <c r="QTL93" s="456" t="s">
        <v>116</v>
      </c>
      <c r="QTM93" s="456" t="s">
        <v>116</v>
      </c>
      <c r="QTN93" s="456" t="s">
        <v>116</v>
      </c>
      <c r="QTO93" s="456" t="s">
        <v>116</v>
      </c>
      <c r="QTP93" s="456" t="s">
        <v>116</v>
      </c>
      <c r="QTQ93" s="456" t="s">
        <v>116</v>
      </c>
      <c r="QTR93" s="456" t="s">
        <v>116</v>
      </c>
      <c r="QTS93" s="456" t="s">
        <v>116</v>
      </c>
      <c r="QTT93" s="456" t="s">
        <v>116</v>
      </c>
      <c r="QTU93" s="456" t="s">
        <v>116</v>
      </c>
      <c r="QTV93" s="456" t="s">
        <v>116</v>
      </c>
      <c r="QTW93" s="456" t="s">
        <v>116</v>
      </c>
      <c r="QTX93" s="456" t="s">
        <v>116</v>
      </c>
      <c r="QTY93" s="456" t="s">
        <v>116</v>
      </c>
      <c r="QTZ93" s="456" t="s">
        <v>116</v>
      </c>
      <c r="QUA93" s="456" t="s">
        <v>116</v>
      </c>
      <c r="QUB93" s="456" t="s">
        <v>116</v>
      </c>
      <c r="QUC93" s="456" t="s">
        <v>116</v>
      </c>
      <c r="QUD93" s="456" t="s">
        <v>116</v>
      </c>
      <c r="QUE93" s="456" t="s">
        <v>116</v>
      </c>
      <c r="QUF93" s="456" t="s">
        <v>116</v>
      </c>
      <c r="QUG93" s="456" t="s">
        <v>116</v>
      </c>
      <c r="QUH93" s="456" t="s">
        <v>116</v>
      </c>
      <c r="QUI93" s="456" t="s">
        <v>116</v>
      </c>
      <c r="QUJ93" s="456" t="s">
        <v>116</v>
      </c>
      <c r="QUK93" s="456" t="s">
        <v>116</v>
      </c>
      <c r="QUL93" s="456" t="s">
        <v>116</v>
      </c>
      <c r="QUM93" s="456" t="s">
        <v>116</v>
      </c>
      <c r="QUN93" s="456" t="s">
        <v>116</v>
      </c>
      <c r="QUO93" s="456" t="s">
        <v>116</v>
      </c>
      <c r="QUP93" s="456" t="s">
        <v>116</v>
      </c>
      <c r="QUQ93" s="456" t="s">
        <v>116</v>
      </c>
      <c r="QUR93" s="456" t="s">
        <v>116</v>
      </c>
      <c r="QUS93" s="456" t="s">
        <v>116</v>
      </c>
      <c r="QUT93" s="456" t="s">
        <v>116</v>
      </c>
      <c r="QUU93" s="456" t="s">
        <v>116</v>
      </c>
      <c r="QUV93" s="456" t="s">
        <v>116</v>
      </c>
      <c r="QUW93" s="456" t="s">
        <v>116</v>
      </c>
      <c r="QUX93" s="456" t="s">
        <v>116</v>
      </c>
      <c r="QUY93" s="456" t="s">
        <v>116</v>
      </c>
      <c r="QUZ93" s="456" t="s">
        <v>116</v>
      </c>
      <c r="QVA93" s="456" t="s">
        <v>116</v>
      </c>
      <c r="QVB93" s="456" t="s">
        <v>116</v>
      </c>
      <c r="QVC93" s="456" t="s">
        <v>116</v>
      </c>
      <c r="QVD93" s="456" t="s">
        <v>116</v>
      </c>
      <c r="QVE93" s="456" t="s">
        <v>116</v>
      </c>
      <c r="QVF93" s="456" t="s">
        <v>116</v>
      </c>
      <c r="QVG93" s="456" t="s">
        <v>116</v>
      </c>
      <c r="QVH93" s="456" t="s">
        <v>116</v>
      </c>
      <c r="QVI93" s="456" t="s">
        <v>116</v>
      </c>
      <c r="QVJ93" s="456" t="s">
        <v>116</v>
      </c>
      <c r="QVK93" s="456" t="s">
        <v>116</v>
      </c>
      <c r="QVL93" s="456" t="s">
        <v>116</v>
      </c>
      <c r="QVM93" s="456" t="s">
        <v>116</v>
      </c>
      <c r="QVN93" s="456" t="s">
        <v>116</v>
      </c>
      <c r="QVO93" s="456" t="s">
        <v>116</v>
      </c>
      <c r="QVP93" s="456" t="s">
        <v>116</v>
      </c>
      <c r="QVQ93" s="456" t="s">
        <v>116</v>
      </c>
      <c r="QVR93" s="456" t="s">
        <v>116</v>
      </c>
      <c r="QVS93" s="456" t="s">
        <v>116</v>
      </c>
      <c r="QVT93" s="456" t="s">
        <v>116</v>
      </c>
      <c r="QVU93" s="456" t="s">
        <v>116</v>
      </c>
      <c r="QVV93" s="456" t="s">
        <v>116</v>
      </c>
      <c r="QVW93" s="456" t="s">
        <v>116</v>
      </c>
      <c r="QVX93" s="456" t="s">
        <v>116</v>
      </c>
      <c r="QVY93" s="456" t="s">
        <v>116</v>
      </c>
      <c r="QVZ93" s="456" t="s">
        <v>116</v>
      </c>
      <c r="QWA93" s="456" t="s">
        <v>116</v>
      </c>
      <c r="QWB93" s="456" t="s">
        <v>116</v>
      </c>
      <c r="QWC93" s="456" t="s">
        <v>116</v>
      </c>
      <c r="QWD93" s="456" t="s">
        <v>116</v>
      </c>
      <c r="QWE93" s="456" t="s">
        <v>116</v>
      </c>
      <c r="QWF93" s="456" t="s">
        <v>116</v>
      </c>
      <c r="QWG93" s="456" t="s">
        <v>116</v>
      </c>
      <c r="QWH93" s="456" t="s">
        <v>116</v>
      </c>
      <c r="QWI93" s="456" t="s">
        <v>116</v>
      </c>
      <c r="QWJ93" s="456" t="s">
        <v>116</v>
      </c>
      <c r="QWK93" s="456" t="s">
        <v>116</v>
      </c>
      <c r="QWL93" s="456" t="s">
        <v>116</v>
      </c>
      <c r="QWM93" s="456" t="s">
        <v>116</v>
      </c>
      <c r="QWN93" s="456" t="s">
        <v>116</v>
      </c>
      <c r="QWO93" s="456" t="s">
        <v>116</v>
      </c>
      <c r="QWP93" s="456" t="s">
        <v>116</v>
      </c>
      <c r="QWQ93" s="456" t="s">
        <v>116</v>
      </c>
      <c r="QWR93" s="456" t="s">
        <v>116</v>
      </c>
      <c r="QWS93" s="456" t="s">
        <v>116</v>
      </c>
      <c r="QWT93" s="456" t="s">
        <v>116</v>
      </c>
      <c r="QWU93" s="456" t="s">
        <v>116</v>
      </c>
      <c r="QWV93" s="456" t="s">
        <v>116</v>
      </c>
      <c r="QWW93" s="456" t="s">
        <v>116</v>
      </c>
      <c r="QWX93" s="456" t="s">
        <v>116</v>
      </c>
      <c r="QWY93" s="456" t="s">
        <v>116</v>
      </c>
      <c r="QWZ93" s="456" t="s">
        <v>116</v>
      </c>
      <c r="QXA93" s="456" t="s">
        <v>116</v>
      </c>
      <c r="QXB93" s="456" t="s">
        <v>116</v>
      </c>
      <c r="QXC93" s="456" t="s">
        <v>116</v>
      </c>
      <c r="QXD93" s="456" t="s">
        <v>116</v>
      </c>
      <c r="QXE93" s="456" t="s">
        <v>116</v>
      </c>
      <c r="QXF93" s="456" t="s">
        <v>116</v>
      </c>
      <c r="QXG93" s="456" t="s">
        <v>116</v>
      </c>
      <c r="QXH93" s="456" t="s">
        <v>116</v>
      </c>
      <c r="QXI93" s="456" t="s">
        <v>116</v>
      </c>
      <c r="QXJ93" s="456" t="s">
        <v>116</v>
      </c>
      <c r="QXK93" s="456" t="s">
        <v>116</v>
      </c>
      <c r="QXL93" s="456" t="s">
        <v>116</v>
      </c>
      <c r="QXM93" s="456" t="s">
        <v>116</v>
      </c>
      <c r="QXN93" s="456" t="s">
        <v>116</v>
      </c>
      <c r="QXO93" s="456" t="s">
        <v>116</v>
      </c>
      <c r="QXP93" s="456" t="s">
        <v>116</v>
      </c>
      <c r="QXQ93" s="456" t="s">
        <v>116</v>
      </c>
      <c r="QXR93" s="456" t="s">
        <v>116</v>
      </c>
      <c r="QXS93" s="456" t="s">
        <v>116</v>
      </c>
      <c r="QXT93" s="456" t="s">
        <v>116</v>
      </c>
      <c r="QXU93" s="456" t="s">
        <v>116</v>
      </c>
      <c r="QXV93" s="456" t="s">
        <v>116</v>
      </c>
      <c r="QXW93" s="456" t="s">
        <v>116</v>
      </c>
      <c r="QXX93" s="456" t="s">
        <v>116</v>
      </c>
      <c r="QXY93" s="456" t="s">
        <v>116</v>
      </c>
      <c r="QXZ93" s="456" t="s">
        <v>116</v>
      </c>
      <c r="QYA93" s="456" t="s">
        <v>116</v>
      </c>
      <c r="QYB93" s="456" t="s">
        <v>116</v>
      </c>
      <c r="QYC93" s="456" t="s">
        <v>116</v>
      </c>
      <c r="QYD93" s="456" t="s">
        <v>116</v>
      </c>
      <c r="QYE93" s="456" t="s">
        <v>116</v>
      </c>
      <c r="QYF93" s="456" t="s">
        <v>116</v>
      </c>
      <c r="QYG93" s="456" t="s">
        <v>116</v>
      </c>
      <c r="QYH93" s="456" t="s">
        <v>116</v>
      </c>
      <c r="QYI93" s="456" t="s">
        <v>116</v>
      </c>
      <c r="QYJ93" s="456" t="s">
        <v>116</v>
      </c>
      <c r="QYK93" s="456" t="s">
        <v>116</v>
      </c>
      <c r="QYL93" s="456" t="s">
        <v>116</v>
      </c>
      <c r="QYM93" s="456" t="s">
        <v>116</v>
      </c>
      <c r="QYN93" s="456" t="s">
        <v>116</v>
      </c>
      <c r="QYO93" s="456" t="s">
        <v>116</v>
      </c>
      <c r="QYP93" s="456" t="s">
        <v>116</v>
      </c>
      <c r="QYQ93" s="456" t="s">
        <v>116</v>
      </c>
      <c r="QYR93" s="456" t="s">
        <v>116</v>
      </c>
      <c r="QYS93" s="456" t="s">
        <v>116</v>
      </c>
      <c r="QYT93" s="456" t="s">
        <v>116</v>
      </c>
      <c r="QYU93" s="456" t="s">
        <v>116</v>
      </c>
      <c r="QYV93" s="456" t="s">
        <v>116</v>
      </c>
      <c r="QYW93" s="456" t="s">
        <v>116</v>
      </c>
      <c r="QYX93" s="456" t="s">
        <v>116</v>
      </c>
      <c r="QYY93" s="456" t="s">
        <v>116</v>
      </c>
      <c r="QYZ93" s="456" t="s">
        <v>116</v>
      </c>
      <c r="QZA93" s="456" t="s">
        <v>116</v>
      </c>
      <c r="QZB93" s="456" t="s">
        <v>116</v>
      </c>
      <c r="QZC93" s="456" t="s">
        <v>116</v>
      </c>
      <c r="QZD93" s="456" t="s">
        <v>116</v>
      </c>
      <c r="QZE93" s="456" t="s">
        <v>116</v>
      </c>
      <c r="QZF93" s="456" t="s">
        <v>116</v>
      </c>
      <c r="QZG93" s="456" t="s">
        <v>116</v>
      </c>
      <c r="QZH93" s="456" t="s">
        <v>116</v>
      </c>
      <c r="QZI93" s="456" t="s">
        <v>116</v>
      </c>
      <c r="QZJ93" s="456" t="s">
        <v>116</v>
      </c>
      <c r="QZK93" s="456" t="s">
        <v>116</v>
      </c>
      <c r="QZL93" s="456" t="s">
        <v>116</v>
      </c>
      <c r="QZM93" s="456" t="s">
        <v>116</v>
      </c>
      <c r="QZN93" s="456" t="s">
        <v>116</v>
      </c>
      <c r="QZO93" s="456" t="s">
        <v>116</v>
      </c>
      <c r="QZP93" s="456" t="s">
        <v>116</v>
      </c>
      <c r="QZQ93" s="456" t="s">
        <v>116</v>
      </c>
      <c r="QZR93" s="456" t="s">
        <v>116</v>
      </c>
      <c r="QZS93" s="456" t="s">
        <v>116</v>
      </c>
      <c r="QZT93" s="456" t="s">
        <v>116</v>
      </c>
      <c r="QZU93" s="456" t="s">
        <v>116</v>
      </c>
      <c r="QZV93" s="456" t="s">
        <v>116</v>
      </c>
      <c r="QZW93" s="456" t="s">
        <v>116</v>
      </c>
      <c r="QZX93" s="456" t="s">
        <v>116</v>
      </c>
      <c r="QZY93" s="456" t="s">
        <v>116</v>
      </c>
      <c r="QZZ93" s="456" t="s">
        <v>116</v>
      </c>
      <c r="RAA93" s="456" t="s">
        <v>116</v>
      </c>
      <c r="RAB93" s="456" t="s">
        <v>116</v>
      </c>
      <c r="RAC93" s="456" t="s">
        <v>116</v>
      </c>
      <c r="RAD93" s="456" t="s">
        <v>116</v>
      </c>
      <c r="RAE93" s="456" t="s">
        <v>116</v>
      </c>
      <c r="RAF93" s="456" t="s">
        <v>116</v>
      </c>
      <c r="RAG93" s="456" t="s">
        <v>116</v>
      </c>
      <c r="RAH93" s="456" t="s">
        <v>116</v>
      </c>
      <c r="RAI93" s="456" t="s">
        <v>116</v>
      </c>
      <c r="RAJ93" s="456" t="s">
        <v>116</v>
      </c>
      <c r="RAK93" s="456" t="s">
        <v>116</v>
      </c>
      <c r="RAL93" s="456" t="s">
        <v>116</v>
      </c>
      <c r="RAM93" s="456" t="s">
        <v>116</v>
      </c>
      <c r="RAN93" s="456" t="s">
        <v>116</v>
      </c>
      <c r="RAO93" s="456" t="s">
        <v>116</v>
      </c>
      <c r="RAP93" s="456" t="s">
        <v>116</v>
      </c>
      <c r="RAQ93" s="456" t="s">
        <v>116</v>
      </c>
      <c r="RAR93" s="456" t="s">
        <v>116</v>
      </c>
      <c r="RAS93" s="456" t="s">
        <v>116</v>
      </c>
      <c r="RAT93" s="456" t="s">
        <v>116</v>
      </c>
      <c r="RAU93" s="456" t="s">
        <v>116</v>
      </c>
      <c r="RAV93" s="456" t="s">
        <v>116</v>
      </c>
      <c r="RAW93" s="456" t="s">
        <v>116</v>
      </c>
      <c r="RAX93" s="456" t="s">
        <v>116</v>
      </c>
      <c r="RAY93" s="456" t="s">
        <v>116</v>
      </c>
      <c r="RAZ93" s="456" t="s">
        <v>116</v>
      </c>
      <c r="RBA93" s="456" t="s">
        <v>116</v>
      </c>
      <c r="RBB93" s="456" t="s">
        <v>116</v>
      </c>
      <c r="RBC93" s="456" t="s">
        <v>116</v>
      </c>
      <c r="RBD93" s="456" t="s">
        <v>116</v>
      </c>
      <c r="RBE93" s="456" t="s">
        <v>116</v>
      </c>
      <c r="RBF93" s="456" t="s">
        <v>116</v>
      </c>
      <c r="RBG93" s="456" t="s">
        <v>116</v>
      </c>
      <c r="RBH93" s="456" t="s">
        <v>116</v>
      </c>
      <c r="RBI93" s="456" t="s">
        <v>116</v>
      </c>
      <c r="RBJ93" s="456" t="s">
        <v>116</v>
      </c>
      <c r="RBK93" s="456" t="s">
        <v>116</v>
      </c>
      <c r="RBL93" s="456" t="s">
        <v>116</v>
      </c>
      <c r="RBM93" s="456" t="s">
        <v>116</v>
      </c>
      <c r="RBN93" s="456" t="s">
        <v>116</v>
      </c>
      <c r="RBO93" s="456" t="s">
        <v>116</v>
      </c>
      <c r="RBP93" s="456" t="s">
        <v>116</v>
      </c>
      <c r="RBQ93" s="456" t="s">
        <v>116</v>
      </c>
      <c r="RBR93" s="456" t="s">
        <v>116</v>
      </c>
      <c r="RBS93" s="456" t="s">
        <v>116</v>
      </c>
      <c r="RBT93" s="456" t="s">
        <v>116</v>
      </c>
      <c r="RBU93" s="456" t="s">
        <v>116</v>
      </c>
      <c r="RBV93" s="456" t="s">
        <v>116</v>
      </c>
      <c r="RBW93" s="456" t="s">
        <v>116</v>
      </c>
      <c r="RBX93" s="456" t="s">
        <v>116</v>
      </c>
      <c r="RBY93" s="456" t="s">
        <v>116</v>
      </c>
      <c r="RBZ93" s="456" t="s">
        <v>116</v>
      </c>
      <c r="RCA93" s="456" t="s">
        <v>116</v>
      </c>
      <c r="RCB93" s="456" t="s">
        <v>116</v>
      </c>
      <c r="RCC93" s="456" t="s">
        <v>116</v>
      </c>
      <c r="RCD93" s="456" t="s">
        <v>116</v>
      </c>
      <c r="RCE93" s="456" t="s">
        <v>116</v>
      </c>
      <c r="RCF93" s="456" t="s">
        <v>116</v>
      </c>
      <c r="RCG93" s="456" t="s">
        <v>116</v>
      </c>
      <c r="RCH93" s="456" t="s">
        <v>116</v>
      </c>
      <c r="RCI93" s="456" t="s">
        <v>116</v>
      </c>
      <c r="RCJ93" s="456" t="s">
        <v>116</v>
      </c>
      <c r="RCK93" s="456" t="s">
        <v>116</v>
      </c>
      <c r="RCL93" s="456" t="s">
        <v>116</v>
      </c>
      <c r="RCM93" s="456" t="s">
        <v>116</v>
      </c>
      <c r="RCN93" s="456" t="s">
        <v>116</v>
      </c>
      <c r="RCO93" s="456" t="s">
        <v>116</v>
      </c>
      <c r="RCP93" s="456" t="s">
        <v>116</v>
      </c>
      <c r="RCQ93" s="456" t="s">
        <v>116</v>
      </c>
      <c r="RCR93" s="456" t="s">
        <v>116</v>
      </c>
      <c r="RCS93" s="456" t="s">
        <v>116</v>
      </c>
      <c r="RCT93" s="456" t="s">
        <v>116</v>
      </c>
      <c r="RCU93" s="456" t="s">
        <v>116</v>
      </c>
      <c r="RCV93" s="456" t="s">
        <v>116</v>
      </c>
      <c r="RCW93" s="456" t="s">
        <v>116</v>
      </c>
      <c r="RCX93" s="456" t="s">
        <v>116</v>
      </c>
      <c r="RCY93" s="456" t="s">
        <v>116</v>
      </c>
      <c r="RCZ93" s="456" t="s">
        <v>116</v>
      </c>
      <c r="RDA93" s="456" t="s">
        <v>116</v>
      </c>
      <c r="RDB93" s="456" t="s">
        <v>116</v>
      </c>
      <c r="RDC93" s="456" t="s">
        <v>116</v>
      </c>
      <c r="RDD93" s="456" t="s">
        <v>116</v>
      </c>
      <c r="RDE93" s="456" t="s">
        <v>116</v>
      </c>
      <c r="RDF93" s="456" t="s">
        <v>116</v>
      </c>
      <c r="RDG93" s="456" t="s">
        <v>116</v>
      </c>
      <c r="RDH93" s="456" t="s">
        <v>116</v>
      </c>
      <c r="RDI93" s="456" t="s">
        <v>116</v>
      </c>
      <c r="RDJ93" s="456" t="s">
        <v>116</v>
      </c>
      <c r="RDK93" s="456" t="s">
        <v>116</v>
      </c>
      <c r="RDL93" s="456" t="s">
        <v>116</v>
      </c>
      <c r="RDM93" s="456" t="s">
        <v>116</v>
      </c>
      <c r="RDN93" s="456" t="s">
        <v>116</v>
      </c>
      <c r="RDO93" s="456" t="s">
        <v>116</v>
      </c>
      <c r="RDP93" s="456" t="s">
        <v>116</v>
      </c>
      <c r="RDQ93" s="456" t="s">
        <v>116</v>
      </c>
      <c r="RDR93" s="456" t="s">
        <v>116</v>
      </c>
      <c r="RDS93" s="456" t="s">
        <v>116</v>
      </c>
      <c r="RDT93" s="456" t="s">
        <v>116</v>
      </c>
      <c r="RDU93" s="456" t="s">
        <v>116</v>
      </c>
      <c r="RDV93" s="456" t="s">
        <v>116</v>
      </c>
      <c r="RDW93" s="456" t="s">
        <v>116</v>
      </c>
      <c r="RDX93" s="456" t="s">
        <v>116</v>
      </c>
      <c r="RDY93" s="456" t="s">
        <v>116</v>
      </c>
      <c r="RDZ93" s="456" t="s">
        <v>116</v>
      </c>
      <c r="REA93" s="456" t="s">
        <v>116</v>
      </c>
      <c r="REB93" s="456" t="s">
        <v>116</v>
      </c>
      <c r="REC93" s="456" t="s">
        <v>116</v>
      </c>
      <c r="RED93" s="456" t="s">
        <v>116</v>
      </c>
      <c r="REE93" s="456" t="s">
        <v>116</v>
      </c>
      <c r="REF93" s="456" t="s">
        <v>116</v>
      </c>
      <c r="REG93" s="456" t="s">
        <v>116</v>
      </c>
      <c r="REH93" s="456" t="s">
        <v>116</v>
      </c>
      <c r="REI93" s="456" t="s">
        <v>116</v>
      </c>
      <c r="REJ93" s="456" t="s">
        <v>116</v>
      </c>
      <c r="REK93" s="456" t="s">
        <v>116</v>
      </c>
      <c r="REL93" s="456" t="s">
        <v>116</v>
      </c>
      <c r="REM93" s="456" t="s">
        <v>116</v>
      </c>
      <c r="REN93" s="456" t="s">
        <v>116</v>
      </c>
      <c r="REO93" s="456" t="s">
        <v>116</v>
      </c>
      <c r="REP93" s="456" t="s">
        <v>116</v>
      </c>
      <c r="REQ93" s="456" t="s">
        <v>116</v>
      </c>
      <c r="RER93" s="456" t="s">
        <v>116</v>
      </c>
      <c r="RES93" s="456" t="s">
        <v>116</v>
      </c>
      <c r="RET93" s="456" t="s">
        <v>116</v>
      </c>
      <c r="REU93" s="456" t="s">
        <v>116</v>
      </c>
      <c r="REV93" s="456" t="s">
        <v>116</v>
      </c>
      <c r="REW93" s="456" t="s">
        <v>116</v>
      </c>
      <c r="REX93" s="456" t="s">
        <v>116</v>
      </c>
      <c r="REY93" s="456" t="s">
        <v>116</v>
      </c>
      <c r="REZ93" s="456" t="s">
        <v>116</v>
      </c>
      <c r="RFA93" s="456" t="s">
        <v>116</v>
      </c>
      <c r="RFB93" s="456" t="s">
        <v>116</v>
      </c>
      <c r="RFC93" s="456" t="s">
        <v>116</v>
      </c>
      <c r="RFD93" s="456" t="s">
        <v>116</v>
      </c>
      <c r="RFE93" s="456" t="s">
        <v>116</v>
      </c>
      <c r="RFF93" s="456" t="s">
        <v>116</v>
      </c>
      <c r="RFG93" s="456" t="s">
        <v>116</v>
      </c>
      <c r="RFH93" s="456" t="s">
        <v>116</v>
      </c>
      <c r="RFI93" s="456" t="s">
        <v>116</v>
      </c>
      <c r="RFJ93" s="456" t="s">
        <v>116</v>
      </c>
      <c r="RFK93" s="456" t="s">
        <v>116</v>
      </c>
      <c r="RFL93" s="456" t="s">
        <v>116</v>
      </c>
      <c r="RFM93" s="456" t="s">
        <v>116</v>
      </c>
      <c r="RFN93" s="456" t="s">
        <v>116</v>
      </c>
      <c r="RFO93" s="456" t="s">
        <v>116</v>
      </c>
      <c r="RFP93" s="456" t="s">
        <v>116</v>
      </c>
      <c r="RFQ93" s="456" t="s">
        <v>116</v>
      </c>
      <c r="RFR93" s="456" t="s">
        <v>116</v>
      </c>
      <c r="RFS93" s="456" t="s">
        <v>116</v>
      </c>
      <c r="RFT93" s="456" t="s">
        <v>116</v>
      </c>
      <c r="RFU93" s="456" t="s">
        <v>116</v>
      </c>
      <c r="RFV93" s="456" t="s">
        <v>116</v>
      </c>
      <c r="RFW93" s="456" t="s">
        <v>116</v>
      </c>
      <c r="RFX93" s="456" t="s">
        <v>116</v>
      </c>
      <c r="RFY93" s="456" t="s">
        <v>116</v>
      </c>
      <c r="RFZ93" s="456" t="s">
        <v>116</v>
      </c>
      <c r="RGA93" s="456" t="s">
        <v>116</v>
      </c>
      <c r="RGB93" s="456" t="s">
        <v>116</v>
      </c>
      <c r="RGC93" s="456" t="s">
        <v>116</v>
      </c>
      <c r="RGD93" s="456" t="s">
        <v>116</v>
      </c>
      <c r="RGE93" s="456" t="s">
        <v>116</v>
      </c>
      <c r="RGF93" s="456" t="s">
        <v>116</v>
      </c>
      <c r="RGG93" s="456" t="s">
        <v>116</v>
      </c>
      <c r="RGH93" s="456" t="s">
        <v>116</v>
      </c>
      <c r="RGI93" s="456" t="s">
        <v>116</v>
      </c>
      <c r="RGJ93" s="456" t="s">
        <v>116</v>
      </c>
      <c r="RGK93" s="456" t="s">
        <v>116</v>
      </c>
      <c r="RGL93" s="456" t="s">
        <v>116</v>
      </c>
      <c r="RGM93" s="456" t="s">
        <v>116</v>
      </c>
      <c r="RGN93" s="456" t="s">
        <v>116</v>
      </c>
      <c r="RGO93" s="456" t="s">
        <v>116</v>
      </c>
      <c r="RGP93" s="456" t="s">
        <v>116</v>
      </c>
      <c r="RGQ93" s="456" t="s">
        <v>116</v>
      </c>
      <c r="RGR93" s="456" t="s">
        <v>116</v>
      </c>
      <c r="RGS93" s="456" t="s">
        <v>116</v>
      </c>
      <c r="RGT93" s="456" t="s">
        <v>116</v>
      </c>
      <c r="RGU93" s="456" t="s">
        <v>116</v>
      </c>
      <c r="RGV93" s="456" t="s">
        <v>116</v>
      </c>
      <c r="RGW93" s="456" t="s">
        <v>116</v>
      </c>
      <c r="RGX93" s="456" t="s">
        <v>116</v>
      </c>
      <c r="RGY93" s="456" t="s">
        <v>116</v>
      </c>
      <c r="RGZ93" s="456" t="s">
        <v>116</v>
      </c>
      <c r="RHA93" s="456" t="s">
        <v>116</v>
      </c>
      <c r="RHB93" s="456" t="s">
        <v>116</v>
      </c>
      <c r="RHC93" s="456" t="s">
        <v>116</v>
      </c>
      <c r="RHD93" s="456" t="s">
        <v>116</v>
      </c>
      <c r="RHE93" s="456" t="s">
        <v>116</v>
      </c>
      <c r="RHF93" s="456" t="s">
        <v>116</v>
      </c>
      <c r="RHG93" s="456" t="s">
        <v>116</v>
      </c>
      <c r="RHH93" s="456" t="s">
        <v>116</v>
      </c>
      <c r="RHI93" s="456" t="s">
        <v>116</v>
      </c>
      <c r="RHJ93" s="456" t="s">
        <v>116</v>
      </c>
      <c r="RHK93" s="456" t="s">
        <v>116</v>
      </c>
      <c r="RHL93" s="456" t="s">
        <v>116</v>
      </c>
      <c r="RHM93" s="456" t="s">
        <v>116</v>
      </c>
      <c r="RHN93" s="456" t="s">
        <v>116</v>
      </c>
      <c r="RHO93" s="456" t="s">
        <v>116</v>
      </c>
      <c r="RHP93" s="456" t="s">
        <v>116</v>
      </c>
      <c r="RHQ93" s="456" t="s">
        <v>116</v>
      </c>
      <c r="RHR93" s="456" t="s">
        <v>116</v>
      </c>
      <c r="RHS93" s="456" t="s">
        <v>116</v>
      </c>
      <c r="RHT93" s="456" t="s">
        <v>116</v>
      </c>
      <c r="RHU93" s="456" t="s">
        <v>116</v>
      </c>
      <c r="RHV93" s="456" t="s">
        <v>116</v>
      </c>
      <c r="RHW93" s="456" t="s">
        <v>116</v>
      </c>
      <c r="RHX93" s="456" t="s">
        <v>116</v>
      </c>
      <c r="RHY93" s="456" t="s">
        <v>116</v>
      </c>
      <c r="RHZ93" s="456" t="s">
        <v>116</v>
      </c>
      <c r="RIA93" s="456" t="s">
        <v>116</v>
      </c>
      <c r="RIB93" s="456" t="s">
        <v>116</v>
      </c>
      <c r="RIC93" s="456" t="s">
        <v>116</v>
      </c>
      <c r="RID93" s="456" t="s">
        <v>116</v>
      </c>
      <c r="RIE93" s="456" t="s">
        <v>116</v>
      </c>
      <c r="RIF93" s="456" t="s">
        <v>116</v>
      </c>
      <c r="RIG93" s="456" t="s">
        <v>116</v>
      </c>
      <c r="RIH93" s="456" t="s">
        <v>116</v>
      </c>
      <c r="RII93" s="456" t="s">
        <v>116</v>
      </c>
      <c r="RIJ93" s="456" t="s">
        <v>116</v>
      </c>
      <c r="RIK93" s="456" t="s">
        <v>116</v>
      </c>
      <c r="RIL93" s="456" t="s">
        <v>116</v>
      </c>
      <c r="RIM93" s="456" t="s">
        <v>116</v>
      </c>
      <c r="RIN93" s="456" t="s">
        <v>116</v>
      </c>
      <c r="RIO93" s="456" t="s">
        <v>116</v>
      </c>
      <c r="RIP93" s="456" t="s">
        <v>116</v>
      </c>
      <c r="RIQ93" s="456" t="s">
        <v>116</v>
      </c>
      <c r="RIR93" s="456" t="s">
        <v>116</v>
      </c>
      <c r="RIS93" s="456" t="s">
        <v>116</v>
      </c>
      <c r="RIT93" s="456" t="s">
        <v>116</v>
      </c>
      <c r="RIU93" s="456" t="s">
        <v>116</v>
      </c>
      <c r="RIV93" s="456" t="s">
        <v>116</v>
      </c>
      <c r="RIW93" s="456" t="s">
        <v>116</v>
      </c>
      <c r="RIX93" s="456" t="s">
        <v>116</v>
      </c>
      <c r="RIY93" s="456" t="s">
        <v>116</v>
      </c>
      <c r="RIZ93" s="456" t="s">
        <v>116</v>
      </c>
      <c r="RJA93" s="456" t="s">
        <v>116</v>
      </c>
      <c r="RJB93" s="456" t="s">
        <v>116</v>
      </c>
      <c r="RJC93" s="456" t="s">
        <v>116</v>
      </c>
      <c r="RJD93" s="456" t="s">
        <v>116</v>
      </c>
      <c r="RJE93" s="456" t="s">
        <v>116</v>
      </c>
      <c r="RJF93" s="456" t="s">
        <v>116</v>
      </c>
      <c r="RJG93" s="456" t="s">
        <v>116</v>
      </c>
      <c r="RJH93" s="456" t="s">
        <v>116</v>
      </c>
      <c r="RJI93" s="456" t="s">
        <v>116</v>
      </c>
      <c r="RJJ93" s="456" t="s">
        <v>116</v>
      </c>
      <c r="RJK93" s="456" t="s">
        <v>116</v>
      </c>
      <c r="RJL93" s="456" t="s">
        <v>116</v>
      </c>
      <c r="RJM93" s="456" t="s">
        <v>116</v>
      </c>
      <c r="RJN93" s="456" t="s">
        <v>116</v>
      </c>
      <c r="RJO93" s="456" t="s">
        <v>116</v>
      </c>
      <c r="RJP93" s="456" t="s">
        <v>116</v>
      </c>
      <c r="RJQ93" s="456" t="s">
        <v>116</v>
      </c>
      <c r="RJR93" s="456" t="s">
        <v>116</v>
      </c>
      <c r="RJS93" s="456" t="s">
        <v>116</v>
      </c>
      <c r="RJT93" s="456" t="s">
        <v>116</v>
      </c>
      <c r="RJU93" s="456" t="s">
        <v>116</v>
      </c>
      <c r="RJV93" s="456" t="s">
        <v>116</v>
      </c>
      <c r="RJW93" s="456" t="s">
        <v>116</v>
      </c>
      <c r="RJX93" s="456" t="s">
        <v>116</v>
      </c>
      <c r="RJY93" s="456" t="s">
        <v>116</v>
      </c>
      <c r="RJZ93" s="456" t="s">
        <v>116</v>
      </c>
      <c r="RKA93" s="456" t="s">
        <v>116</v>
      </c>
      <c r="RKB93" s="456" t="s">
        <v>116</v>
      </c>
      <c r="RKC93" s="456" t="s">
        <v>116</v>
      </c>
      <c r="RKD93" s="456" t="s">
        <v>116</v>
      </c>
      <c r="RKE93" s="456" t="s">
        <v>116</v>
      </c>
      <c r="RKF93" s="456" t="s">
        <v>116</v>
      </c>
      <c r="RKG93" s="456" t="s">
        <v>116</v>
      </c>
      <c r="RKH93" s="456" t="s">
        <v>116</v>
      </c>
      <c r="RKI93" s="456" t="s">
        <v>116</v>
      </c>
      <c r="RKJ93" s="456" t="s">
        <v>116</v>
      </c>
      <c r="RKK93" s="456" t="s">
        <v>116</v>
      </c>
      <c r="RKL93" s="456" t="s">
        <v>116</v>
      </c>
      <c r="RKM93" s="456" t="s">
        <v>116</v>
      </c>
      <c r="RKN93" s="456" t="s">
        <v>116</v>
      </c>
      <c r="RKO93" s="456" t="s">
        <v>116</v>
      </c>
      <c r="RKP93" s="456" t="s">
        <v>116</v>
      </c>
      <c r="RKQ93" s="456" t="s">
        <v>116</v>
      </c>
      <c r="RKR93" s="456" t="s">
        <v>116</v>
      </c>
      <c r="RKS93" s="456" t="s">
        <v>116</v>
      </c>
      <c r="RKT93" s="456" t="s">
        <v>116</v>
      </c>
      <c r="RKU93" s="456" t="s">
        <v>116</v>
      </c>
      <c r="RKV93" s="456" t="s">
        <v>116</v>
      </c>
      <c r="RKW93" s="456" t="s">
        <v>116</v>
      </c>
      <c r="RKX93" s="456" t="s">
        <v>116</v>
      </c>
      <c r="RKY93" s="456" t="s">
        <v>116</v>
      </c>
      <c r="RKZ93" s="456" t="s">
        <v>116</v>
      </c>
      <c r="RLA93" s="456" t="s">
        <v>116</v>
      </c>
      <c r="RLB93" s="456" t="s">
        <v>116</v>
      </c>
      <c r="RLC93" s="456" t="s">
        <v>116</v>
      </c>
      <c r="RLD93" s="456" t="s">
        <v>116</v>
      </c>
      <c r="RLE93" s="456" t="s">
        <v>116</v>
      </c>
      <c r="RLF93" s="456" t="s">
        <v>116</v>
      </c>
      <c r="RLG93" s="456" t="s">
        <v>116</v>
      </c>
      <c r="RLH93" s="456" t="s">
        <v>116</v>
      </c>
      <c r="RLI93" s="456" t="s">
        <v>116</v>
      </c>
      <c r="RLJ93" s="456" t="s">
        <v>116</v>
      </c>
      <c r="RLK93" s="456" t="s">
        <v>116</v>
      </c>
      <c r="RLL93" s="456" t="s">
        <v>116</v>
      </c>
      <c r="RLM93" s="456" t="s">
        <v>116</v>
      </c>
      <c r="RLN93" s="456" t="s">
        <v>116</v>
      </c>
      <c r="RLO93" s="456" t="s">
        <v>116</v>
      </c>
      <c r="RLP93" s="456" t="s">
        <v>116</v>
      </c>
      <c r="RLQ93" s="456" t="s">
        <v>116</v>
      </c>
      <c r="RLR93" s="456" t="s">
        <v>116</v>
      </c>
      <c r="RLS93" s="456" t="s">
        <v>116</v>
      </c>
      <c r="RLT93" s="456" t="s">
        <v>116</v>
      </c>
      <c r="RLU93" s="456" t="s">
        <v>116</v>
      </c>
      <c r="RLV93" s="456" t="s">
        <v>116</v>
      </c>
      <c r="RLW93" s="456" t="s">
        <v>116</v>
      </c>
      <c r="RLX93" s="456" t="s">
        <v>116</v>
      </c>
      <c r="RLY93" s="456" t="s">
        <v>116</v>
      </c>
      <c r="RLZ93" s="456" t="s">
        <v>116</v>
      </c>
      <c r="RMA93" s="456" t="s">
        <v>116</v>
      </c>
      <c r="RMB93" s="456" t="s">
        <v>116</v>
      </c>
      <c r="RMC93" s="456" t="s">
        <v>116</v>
      </c>
      <c r="RMD93" s="456" t="s">
        <v>116</v>
      </c>
      <c r="RME93" s="456" t="s">
        <v>116</v>
      </c>
      <c r="RMF93" s="456" t="s">
        <v>116</v>
      </c>
      <c r="RMG93" s="456" t="s">
        <v>116</v>
      </c>
      <c r="RMH93" s="456" t="s">
        <v>116</v>
      </c>
      <c r="RMI93" s="456" t="s">
        <v>116</v>
      </c>
      <c r="RMJ93" s="456" t="s">
        <v>116</v>
      </c>
      <c r="RMK93" s="456" t="s">
        <v>116</v>
      </c>
      <c r="RML93" s="456" t="s">
        <v>116</v>
      </c>
      <c r="RMM93" s="456" t="s">
        <v>116</v>
      </c>
      <c r="RMN93" s="456" t="s">
        <v>116</v>
      </c>
      <c r="RMO93" s="456" t="s">
        <v>116</v>
      </c>
      <c r="RMP93" s="456" t="s">
        <v>116</v>
      </c>
      <c r="RMQ93" s="456" t="s">
        <v>116</v>
      </c>
      <c r="RMR93" s="456" t="s">
        <v>116</v>
      </c>
      <c r="RMS93" s="456" t="s">
        <v>116</v>
      </c>
      <c r="RMT93" s="456" t="s">
        <v>116</v>
      </c>
      <c r="RMU93" s="456" t="s">
        <v>116</v>
      </c>
      <c r="RMV93" s="456" t="s">
        <v>116</v>
      </c>
      <c r="RMW93" s="456" t="s">
        <v>116</v>
      </c>
      <c r="RMX93" s="456" t="s">
        <v>116</v>
      </c>
      <c r="RMY93" s="456" t="s">
        <v>116</v>
      </c>
      <c r="RMZ93" s="456" t="s">
        <v>116</v>
      </c>
      <c r="RNA93" s="456" t="s">
        <v>116</v>
      </c>
      <c r="RNB93" s="456" t="s">
        <v>116</v>
      </c>
      <c r="RNC93" s="456" t="s">
        <v>116</v>
      </c>
      <c r="RND93" s="456" t="s">
        <v>116</v>
      </c>
      <c r="RNE93" s="456" t="s">
        <v>116</v>
      </c>
      <c r="RNF93" s="456" t="s">
        <v>116</v>
      </c>
      <c r="RNG93" s="456" t="s">
        <v>116</v>
      </c>
      <c r="RNH93" s="456" t="s">
        <v>116</v>
      </c>
      <c r="RNI93" s="456" t="s">
        <v>116</v>
      </c>
      <c r="RNJ93" s="456" t="s">
        <v>116</v>
      </c>
      <c r="RNK93" s="456" t="s">
        <v>116</v>
      </c>
      <c r="RNL93" s="456" t="s">
        <v>116</v>
      </c>
      <c r="RNM93" s="456" t="s">
        <v>116</v>
      </c>
      <c r="RNN93" s="456" t="s">
        <v>116</v>
      </c>
      <c r="RNO93" s="456" t="s">
        <v>116</v>
      </c>
      <c r="RNP93" s="456" t="s">
        <v>116</v>
      </c>
      <c r="RNQ93" s="456" t="s">
        <v>116</v>
      </c>
      <c r="RNR93" s="456" t="s">
        <v>116</v>
      </c>
      <c r="RNS93" s="456" t="s">
        <v>116</v>
      </c>
      <c r="RNT93" s="456" t="s">
        <v>116</v>
      </c>
      <c r="RNU93" s="456" t="s">
        <v>116</v>
      </c>
      <c r="RNV93" s="456" t="s">
        <v>116</v>
      </c>
      <c r="RNW93" s="456" t="s">
        <v>116</v>
      </c>
      <c r="RNX93" s="456" t="s">
        <v>116</v>
      </c>
      <c r="RNY93" s="456" t="s">
        <v>116</v>
      </c>
      <c r="RNZ93" s="456" t="s">
        <v>116</v>
      </c>
      <c r="ROA93" s="456" t="s">
        <v>116</v>
      </c>
      <c r="ROB93" s="456" t="s">
        <v>116</v>
      </c>
      <c r="ROC93" s="456" t="s">
        <v>116</v>
      </c>
      <c r="ROD93" s="456" t="s">
        <v>116</v>
      </c>
      <c r="ROE93" s="456" t="s">
        <v>116</v>
      </c>
      <c r="ROF93" s="456" t="s">
        <v>116</v>
      </c>
      <c r="ROG93" s="456" t="s">
        <v>116</v>
      </c>
      <c r="ROH93" s="456" t="s">
        <v>116</v>
      </c>
      <c r="ROI93" s="456" t="s">
        <v>116</v>
      </c>
      <c r="ROJ93" s="456" t="s">
        <v>116</v>
      </c>
      <c r="ROK93" s="456" t="s">
        <v>116</v>
      </c>
      <c r="ROL93" s="456" t="s">
        <v>116</v>
      </c>
      <c r="ROM93" s="456" t="s">
        <v>116</v>
      </c>
      <c r="RON93" s="456" t="s">
        <v>116</v>
      </c>
      <c r="ROO93" s="456" t="s">
        <v>116</v>
      </c>
      <c r="ROP93" s="456" t="s">
        <v>116</v>
      </c>
      <c r="ROQ93" s="456" t="s">
        <v>116</v>
      </c>
      <c r="ROR93" s="456" t="s">
        <v>116</v>
      </c>
      <c r="ROS93" s="456" t="s">
        <v>116</v>
      </c>
      <c r="ROT93" s="456" t="s">
        <v>116</v>
      </c>
      <c r="ROU93" s="456" t="s">
        <v>116</v>
      </c>
      <c r="ROV93" s="456" t="s">
        <v>116</v>
      </c>
      <c r="ROW93" s="456" t="s">
        <v>116</v>
      </c>
      <c r="ROX93" s="456" t="s">
        <v>116</v>
      </c>
      <c r="ROY93" s="456" t="s">
        <v>116</v>
      </c>
      <c r="ROZ93" s="456" t="s">
        <v>116</v>
      </c>
      <c r="RPA93" s="456" t="s">
        <v>116</v>
      </c>
      <c r="RPB93" s="456" t="s">
        <v>116</v>
      </c>
      <c r="RPC93" s="456" t="s">
        <v>116</v>
      </c>
      <c r="RPD93" s="456" t="s">
        <v>116</v>
      </c>
      <c r="RPE93" s="456" t="s">
        <v>116</v>
      </c>
      <c r="RPF93" s="456" t="s">
        <v>116</v>
      </c>
      <c r="RPG93" s="456" t="s">
        <v>116</v>
      </c>
      <c r="RPH93" s="456" t="s">
        <v>116</v>
      </c>
      <c r="RPI93" s="456" t="s">
        <v>116</v>
      </c>
      <c r="RPJ93" s="456" t="s">
        <v>116</v>
      </c>
      <c r="RPK93" s="456" t="s">
        <v>116</v>
      </c>
      <c r="RPL93" s="456" t="s">
        <v>116</v>
      </c>
      <c r="RPM93" s="456" t="s">
        <v>116</v>
      </c>
      <c r="RPN93" s="456" t="s">
        <v>116</v>
      </c>
      <c r="RPO93" s="456" t="s">
        <v>116</v>
      </c>
      <c r="RPP93" s="456" t="s">
        <v>116</v>
      </c>
      <c r="RPQ93" s="456" t="s">
        <v>116</v>
      </c>
      <c r="RPR93" s="456" t="s">
        <v>116</v>
      </c>
      <c r="RPS93" s="456" t="s">
        <v>116</v>
      </c>
      <c r="RPT93" s="456" t="s">
        <v>116</v>
      </c>
      <c r="RPU93" s="456" t="s">
        <v>116</v>
      </c>
      <c r="RPV93" s="456" t="s">
        <v>116</v>
      </c>
      <c r="RPW93" s="456" t="s">
        <v>116</v>
      </c>
      <c r="RPX93" s="456" t="s">
        <v>116</v>
      </c>
      <c r="RPY93" s="456" t="s">
        <v>116</v>
      </c>
      <c r="RPZ93" s="456" t="s">
        <v>116</v>
      </c>
      <c r="RQA93" s="456" t="s">
        <v>116</v>
      </c>
      <c r="RQB93" s="456" t="s">
        <v>116</v>
      </c>
      <c r="RQC93" s="456" t="s">
        <v>116</v>
      </c>
      <c r="RQD93" s="456" t="s">
        <v>116</v>
      </c>
      <c r="RQE93" s="456" t="s">
        <v>116</v>
      </c>
      <c r="RQF93" s="456" t="s">
        <v>116</v>
      </c>
      <c r="RQG93" s="456" t="s">
        <v>116</v>
      </c>
      <c r="RQH93" s="456" t="s">
        <v>116</v>
      </c>
      <c r="RQI93" s="456" t="s">
        <v>116</v>
      </c>
      <c r="RQJ93" s="456" t="s">
        <v>116</v>
      </c>
      <c r="RQK93" s="456" t="s">
        <v>116</v>
      </c>
      <c r="RQL93" s="456" t="s">
        <v>116</v>
      </c>
      <c r="RQM93" s="456" t="s">
        <v>116</v>
      </c>
      <c r="RQN93" s="456" t="s">
        <v>116</v>
      </c>
      <c r="RQO93" s="456" t="s">
        <v>116</v>
      </c>
      <c r="RQP93" s="456" t="s">
        <v>116</v>
      </c>
      <c r="RQQ93" s="456" t="s">
        <v>116</v>
      </c>
      <c r="RQR93" s="456" t="s">
        <v>116</v>
      </c>
      <c r="RQS93" s="456" t="s">
        <v>116</v>
      </c>
      <c r="RQT93" s="456" t="s">
        <v>116</v>
      </c>
      <c r="RQU93" s="456" t="s">
        <v>116</v>
      </c>
      <c r="RQV93" s="456" t="s">
        <v>116</v>
      </c>
      <c r="RQW93" s="456" t="s">
        <v>116</v>
      </c>
      <c r="RQX93" s="456" t="s">
        <v>116</v>
      </c>
      <c r="RQY93" s="456" t="s">
        <v>116</v>
      </c>
      <c r="RQZ93" s="456" t="s">
        <v>116</v>
      </c>
      <c r="RRA93" s="456" t="s">
        <v>116</v>
      </c>
      <c r="RRB93" s="456" t="s">
        <v>116</v>
      </c>
      <c r="RRC93" s="456" t="s">
        <v>116</v>
      </c>
      <c r="RRD93" s="456" t="s">
        <v>116</v>
      </c>
      <c r="RRE93" s="456" t="s">
        <v>116</v>
      </c>
      <c r="RRF93" s="456" t="s">
        <v>116</v>
      </c>
      <c r="RRG93" s="456" t="s">
        <v>116</v>
      </c>
      <c r="RRH93" s="456" t="s">
        <v>116</v>
      </c>
      <c r="RRI93" s="456" t="s">
        <v>116</v>
      </c>
      <c r="RRJ93" s="456" t="s">
        <v>116</v>
      </c>
      <c r="RRK93" s="456" t="s">
        <v>116</v>
      </c>
      <c r="RRL93" s="456" t="s">
        <v>116</v>
      </c>
      <c r="RRM93" s="456" t="s">
        <v>116</v>
      </c>
      <c r="RRN93" s="456" t="s">
        <v>116</v>
      </c>
      <c r="RRO93" s="456" t="s">
        <v>116</v>
      </c>
      <c r="RRP93" s="456" t="s">
        <v>116</v>
      </c>
      <c r="RRQ93" s="456" t="s">
        <v>116</v>
      </c>
      <c r="RRR93" s="456" t="s">
        <v>116</v>
      </c>
      <c r="RRS93" s="456" t="s">
        <v>116</v>
      </c>
      <c r="RRT93" s="456" t="s">
        <v>116</v>
      </c>
      <c r="RRU93" s="456" t="s">
        <v>116</v>
      </c>
      <c r="RRV93" s="456" t="s">
        <v>116</v>
      </c>
      <c r="RRW93" s="456" t="s">
        <v>116</v>
      </c>
      <c r="RRX93" s="456" t="s">
        <v>116</v>
      </c>
      <c r="RRY93" s="456" t="s">
        <v>116</v>
      </c>
      <c r="RRZ93" s="456" t="s">
        <v>116</v>
      </c>
      <c r="RSA93" s="456" t="s">
        <v>116</v>
      </c>
      <c r="RSB93" s="456" t="s">
        <v>116</v>
      </c>
      <c r="RSC93" s="456" t="s">
        <v>116</v>
      </c>
      <c r="RSD93" s="456" t="s">
        <v>116</v>
      </c>
      <c r="RSE93" s="456" t="s">
        <v>116</v>
      </c>
      <c r="RSF93" s="456" t="s">
        <v>116</v>
      </c>
      <c r="RSG93" s="456" t="s">
        <v>116</v>
      </c>
      <c r="RSH93" s="456" t="s">
        <v>116</v>
      </c>
      <c r="RSI93" s="456" t="s">
        <v>116</v>
      </c>
      <c r="RSJ93" s="456" t="s">
        <v>116</v>
      </c>
      <c r="RSK93" s="456" t="s">
        <v>116</v>
      </c>
      <c r="RSL93" s="456" t="s">
        <v>116</v>
      </c>
      <c r="RSM93" s="456" t="s">
        <v>116</v>
      </c>
      <c r="RSN93" s="456" t="s">
        <v>116</v>
      </c>
      <c r="RSO93" s="456" t="s">
        <v>116</v>
      </c>
      <c r="RSP93" s="456" t="s">
        <v>116</v>
      </c>
      <c r="RSQ93" s="456" t="s">
        <v>116</v>
      </c>
      <c r="RSR93" s="456" t="s">
        <v>116</v>
      </c>
      <c r="RSS93" s="456" t="s">
        <v>116</v>
      </c>
      <c r="RST93" s="456" t="s">
        <v>116</v>
      </c>
      <c r="RSU93" s="456" t="s">
        <v>116</v>
      </c>
      <c r="RSV93" s="456" t="s">
        <v>116</v>
      </c>
      <c r="RSW93" s="456" t="s">
        <v>116</v>
      </c>
      <c r="RSX93" s="456" t="s">
        <v>116</v>
      </c>
      <c r="RSY93" s="456" t="s">
        <v>116</v>
      </c>
      <c r="RSZ93" s="456" t="s">
        <v>116</v>
      </c>
      <c r="RTA93" s="456" t="s">
        <v>116</v>
      </c>
      <c r="RTB93" s="456" t="s">
        <v>116</v>
      </c>
      <c r="RTC93" s="456" t="s">
        <v>116</v>
      </c>
      <c r="RTD93" s="456" t="s">
        <v>116</v>
      </c>
      <c r="RTE93" s="456" t="s">
        <v>116</v>
      </c>
      <c r="RTF93" s="456" t="s">
        <v>116</v>
      </c>
      <c r="RTG93" s="456" t="s">
        <v>116</v>
      </c>
      <c r="RTH93" s="456" t="s">
        <v>116</v>
      </c>
      <c r="RTI93" s="456" t="s">
        <v>116</v>
      </c>
      <c r="RTJ93" s="456" t="s">
        <v>116</v>
      </c>
      <c r="RTK93" s="456" t="s">
        <v>116</v>
      </c>
      <c r="RTL93" s="456" t="s">
        <v>116</v>
      </c>
      <c r="RTM93" s="456" t="s">
        <v>116</v>
      </c>
      <c r="RTN93" s="456" t="s">
        <v>116</v>
      </c>
      <c r="RTO93" s="456" t="s">
        <v>116</v>
      </c>
      <c r="RTP93" s="456" t="s">
        <v>116</v>
      </c>
      <c r="RTQ93" s="456" t="s">
        <v>116</v>
      </c>
      <c r="RTR93" s="456" t="s">
        <v>116</v>
      </c>
      <c r="RTS93" s="456" t="s">
        <v>116</v>
      </c>
      <c r="RTT93" s="456" t="s">
        <v>116</v>
      </c>
      <c r="RTU93" s="456" t="s">
        <v>116</v>
      </c>
      <c r="RTV93" s="456" t="s">
        <v>116</v>
      </c>
      <c r="RTW93" s="456" t="s">
        <v>116</v>
      </c>
      <c r="RTX93" s="456" t="s">
        <v>116</v>
      </c>
      <c r="RTY93" s="456" t="s">
        <v>116</v>
      </c>
      <c r="RTZ93" s="456" t="s">
        <v>116</v>
      </c>
      <c r="RUA93" s="456" t="s">
        <v>116</v>
      </c>
      <c r="RUB93" s="456" t="s">
        <v>116</v>
      </c>
      <c r="RUC93" s="456" t="s">
        <v>116</v>
      </c>
      <c r="RUD93" s="456" t="s">
        <v>116</v>
      </c>
      <c r="RUE93" s="456" t="s">
        <v>116</v>
      </c>
      <c r="RUF93" s="456" t="s">
        <v>116</v>
      </c>
      <c r="RUG93" s="456" t="s">
        <v>116</v>
      </c>
      <c r="RUH93" s="456" t="s">
        <v>116</v>
      </c>
      <c r="RUI93" s="456" t="s">
        <v>116</v>
      </c>
      <c r="RUJ93" s="456" t="s">
        <v>116</v>
      </c>
      <c r="RUK93" s="456" t="s">
        <v>116</v>
      </c>
      <c r="RUL93" s="456" t="s">
        <v>116</v>
      </c>
      <c r="RUM93" s="456" t="s">
        <v>116</v>
      </c>
      <c r="RUN93" s="456" t="s">
        <v>116</v>
      </c>
      <c r="RUO93" s="456" t="s">
        <v>116</v>
      </c>
      <c r="RUP93" s="456" t="s">
        <v>116</v>
      </c>
      <c r="RUQ93" s="456" t="s">
        <v>116</v>
      </c>
      <c r="RUR93" s="456" t="s">
        <v>116</v>
      </c>
      <c r="RUS93" s="456" t="s">
        <v>116</v>
      </c>
      <c r="RUT93" s="456" t="s">
        <v>116</v>
      </c>
      <c r="RUU93" s="456" t="s">
        <v>116</v>
      </c>
      <c r="RUV93" s="456" t="s">
        <v>116</v>
      </c>
      <c r="RUW93" s="456" t="s">
        <v>116</v>
      </c>
      <c r="RUX93" s="456" t="s">
        <v>116</v>
      </c>
      <c r="RUY93" s="456" t="s">
        <v>116</v>
      </c>
      <c r="RUZ93" s="456" t="s">
        <v>116</v>
      </c>
      <c r="RVA93" s="456" t="s">
        <v>116</v>
      </c>
      <c r="RVB93" s="456" t="s">
        <v>116</v>
      </c>
      <c r="RVC93" s="456" t="s">
        <v>116</v>
      </c>
      <c r="RVD93" s="456" t="s">
        <v>116</v>
      </c>
      <c r="RVE93" s="456" t="s">
        <v>116</v>
      </c>
      <c r="RVF93" s="456" t="s">
        <v>116</v>
      </c>
      <c r="RVG93" s="456" t="s">
        <v>116</v>
      </c>
      <c r="RVH93" s="456" t="s">
        <v>116</v>
      </c>
      <c r="RVI93" s="456" t="s">
        <v>116</v>
      </c>
      <c r="RVJ93" s="456" t="s">
        <v>116</v>
      </c>
      <c r="RVK93" s="456" t="s">
        <v>116</v>
      </c>
      <c r="RVL93" s="456" t="s">
        <v>116</v>
      </c>
      <c r="RVM93" s="456" t="s">
        <v>116</v>
      </c>
      <c r="RVN93" s="456" t="s">
        <v>116</v>
      </c>
      <c r="RVO93" s="456" t="s">
        <v>116</v>
      </c>
      <c r="RVP93" s="456" t="s">
        <v>116</v>
      </c>
      <c r="RVQ93" s="456" t="s">
        <v>116</v>
      </c>
      <c r="RVR93" s="456" t="s">
        <v>116</v>
      </c>
      <c r="RVS93" s="456" t="s">
        <v>116</v>
      </c>
      <c r="RVT93" s="456" t="s">
        <v>116</v>
      </c>
      <c r="RVU93" s="456" t="s">
        <v>116</v>
      </c>
      <c r="RVV93" s="456" t="s">
        <v>116</v>
      </c>
      <c r="RVW93" s="456" t="s">
        <v>116</v>
      </c>
      <c r="RVX93" s="456" t="s">
        <v>116</v>
      </c>
      <c r="RVY93" s="456" t="s">
        <v>116</v>
      </c>
      <c r="RVZ93" s="456" t="s">
        <v>116</v>
      </c>
      <c r="RWA93" s="456" t="s">
        <v>116</v>
      </c>
      <c r="RWB93" s="456" t="s">
        <v>116</v>
      </c>
      <c r="RWC93" s="456" t="s">
        <v>116</v>
      </c>
      <c r="RWD93" s="456" t="s">
        <v>116</v>
      </c>
      <c r="RWE93" s="456" t="s">
        <v>116</v>
      </c>
      <c r="RWF93" s="456" t="s">
        <v>116</v>
      </c>
      <c r="RWG93" s="456" t="s">
        <v>116</v>
      </c>
      <c r="RWH93" s="456" t="s">
        <v>116</v>
      </c>
      <c r="RWI93" s="456" t="s">
        <v>116</v>
      </c>
      <c r="RWJ93" s="456" t="s">
        <v>116</v>
      </c>
      <c r="RWK93" s="456" t="s">
        <v>116</v>
      </c>
      <c r="RWL93" s="456" t="s">
        <v>116</v>
      </c>
      <c r="RWM93" s="456" t="s">
        <v>116</v>
      </c>
      <c r="RWN93" s="456" t="s">
        <v>116</v>
      </c>
      <c r="RWO93" s="456" t="s">
        <v>116</v>
      </c>
      <c r="RWP93" s="456" t="s">
        <v>116</v>
      </c>
      <c r="RWQ93" s="456" t="s">
        <v>116</v>
      </c>
      <c r="RWR93" s="456" t="s">
        <v>116</v>
      </c>
      <c r="RWS93" s="456" t="s">
        <v>116</v>
      </c>
      <c r="RWT93" s="456" t="s">
        <v>116</v>
      </c>
      <c r="RWU93" s="456" t="s">
        <v>116</v>
      </c>
      <c r="RWV93" s="456" t="s">
        <v>116</v>
      </c>
      <c r="RWW93" s="456" t="s">
        <v>116</v>
      </c>
      <c r="RWX93" s="456" t="s">
        <v>116</v>
      </c>
      <c r="RWY93" s="456" t="s">
        <v>116</v>
      </c>
      <c r="RWZ93" s="456" t="s">
        <v>116</v>
      </c>
      <c r="RXA93" s="456" t="s">
        <v>116</v>
      </c>
      <c r="RXB93" s="456" t="s">
        <v>116</v>
      </c>
      <c r="RXC93" s="456" t="s">
        <v>116</v>
      </c>
      <c r="RXD93" s="456" t="s">
        <v>116</v>
      </c>
      <c r="RXE93" s="456" t="s">
        <v>116</v>
      </c>
      <c r="RXF93" s="456" t="s">
        <v>116</v>
      </c>
      <c r="RXG93" s="456" t="s">
        <v>116</v>
      </c>
      <c r="RXH93" s="456" t="s">
        <v>116</v>
      </c>
      <c r="RXI93" s="456" t="s">
        <v>116</v>
      </c>
      <c r="RXJ93" s="456" t="s">
        <v>116</v>
      </c>
      <c r="RXK93" s="456" t="s">
        <v>116</v>
      </c>
      <c r="RXL93" s="456" t="s">
        <v>116</v>
      </c>
      <c r="RXM93" s="456" t="s">
        <v>116</v>
      </c>
      <c r="RXN93" s="456" t="s">
        <v>116</v>
      </c>
      <c r="RXO93" s="456" t="s">
        <v>116</v>
      </c>
      <c r="RXP93" s="456" t="s">
        <v>116</v>
      </c>
      <c r="RXQ93" s="456" t="s">
        <v>116</v>
      </c>
      <c r="RXR93" s="456" t="s">
        <v>116</v>
      </c>
      <c r="RXS93" s="456" t="s">
        <v>116</v>
      </c>
      <c r="RXT93" s="456" t="s">
        <v>116</v>
      </c>
      <c r="RXU93" s="456" t="s">
        <v>116</v>
      </c>
      <c r="RXV93" s="456" t="s">
        <v>116</v>
      </c>
      <c r="RXW93" s="456" t="s">
        <v>116</v>
      </c>
      <c r="RXX93" s="456" t="s">
        <v>116</v>
      </c>
      <c r="RXY93" s="456" t="s">
        <v>116</v>
      </c>
      <c r="RXZ93" s="456" t="s">
        <v>116</v>
      </c>
      <c r="RYA93" s="456" t="s">
        <v>116</v>
      </c>
      <c r="RYB93" s="456" t="s">
        <v>116</v>
      </c>
      <c r="RYC93" s="456" t="s">
        <v>116</v>
      </c>
      <c r="RYD93" s="456" t="s">
        <v>116</v>
      </c>
      <c r="RYE93" s="456" t="s">
        <v>116</v>
      </c>
      <c r="RYF93" s="456" t="s">
        <v>116</v>
      </c>
      <c r="RYG93" s="456" t="s">
        <v>116</v>
      </c>
      <c r="RYH93" s="456" t="s">
        <v>116</v>
      </c>
      <c r="RYI93" s="456" t="s">
        <v>116</v>
      </c>
      <c r="RYJ93" s="456" t="s">
        <v>116</v>
      </c>
      <c r="RYK93" s="456" t="s">
        <v>116</v>
      </c>
      <c r="RYL93" s="456" t="s">
        <v>116</v>
      </c>
      <c r="RYM93" s="456" t="s">
        <v>116</v>
      </c>
      <c r="RYN93" s="456" t="s">
        <v>116</v>
      </c>
      <c r="RYO93" s="456" t="s">
        <v>116</v>
      </c>
      <c r="RYP93" s="456" t="s">
        <v>116</v>
      </c>
      <c r="RYQ93" s="456" t="s">
        <v>116</v>
      </c>
      <c r="RYR93" s="456" t="s">
        <v>116</v>
      </c>
      <c r="RYS93" s="456" t="s">
        <v>116</v>
      </c>
      <c r="RYT93" s="456" t="s">
        <v>116</v>
      </c>
      <c r="RYU93" s="456" t="s">
        <v>116</v>
      </c>
      <c r="RYV93" s="456" t="s">
        <v>116</v>
      </c>
      <c r="RYW93" s="456" t="s">
        <v>116</v>
      </c>
      <c r="RYX93" s="456" t="s">
        <v>116</v>
      </c>
      <c r="RYY93" s="456" t="s">
        <v>116</v>
      </c>
      <c r="RYZ93" s="456" t="s">
        <v>116</v>
      </c>
      <c r="RZA93" s="456" t="s">
        <v>116</v>
      </c>
      <c r="RZB93" s="456" t="s">
        <v>116</v>
      </c>
      <c r="RZC93" s="456" t="s">
        <v>116</v>
      </c>
      <c r="RZD93" s="456" t="s">
        <v>116</v>
      </c>
      <c r="RZE93" s="456" t="s">
        <v>116</v>
      </c>
      <c r="RZF93" s="456" t="s">
        <v>116</v>
      </c>
      <c r="RZG93" s="456" t="s">
        <v>116</v>
      </c>
      <c r="RZH93" s="456" t="s">
        <v>116</v>
      </c>
      <c r="RZI93" s="456" t="s">
        <v>116</v>
      </c>
      <c r="RZJ93" s="456" t="s">
        <v>116</v>
      </c>
      <c r="RZK93" s="456" t="s">
        <v>116</v>
      </c>
      <c r="RZL93" s="456" t="s">
        <v>116</v>
      </c>
      <c r="RZM93" s="456" t="s">
        <v>116</v>
      </c>
      <c r="RZN93" s="456" t="s">
        <v>116</v>
      </c>
      <c r="RZO93" s="456" t="s">
        <v>116</v>
      </c>
      <c r="RZP93" s="456" t="s">
        <v>116</v>
      </c>
      <c r="RZQ93" s="456" t="s">
        <v>116</v>
      </c>
      <c r="RZR93" s="456" t="s">
        <v>116</v>
      </c>
      <c r="RZS93" s="456" t="s">
        <v>116</v>
      </c>
      <c r="RZT93" s="456" t="s">
        <v>116</v>
      </c>
      <c r="RZU93" s="456" t="s">
        <v>116</v>
      </c>
      <c r="RZV93" s="456" t="s">
        <v>116</v>
      </c>
      <c r="RZW93" s="456" t="s">
        <v>116</v>
      </c>
      <c r="RZX93" s="456" t="s">
        <v>116</v>
      </c>
      <c r="RZY93" s="456" t="s">
        <v>116</v>
      </c>
      <c r="RZZ93" s="456" t="s">
        <v>116</v>
      </c>
      <c r="SAA93" s="456" t="s">
        <v>116</v>
      </c>
      <c r="SAB93" s="456" t="s">
        <v>116</v>
      </c>
      <c r="SAC93" s="456" t="s">
        <v>116</v>
      </c>
      <c r="SAD93" s="456" t="s">
        <v>116</v>
      </c>
      <c r="SAE93" s="456" t="s">
        <v>116</v>
      </c>
      <c r="SAF93" s="456" t="s">
        <v>116</v>
      </c>
      <c r="SAG93" s="456" t="s">
        <v>116</v>
      </c>
      <c r="SAH93" s="456" t="s">
        <v>116</v>
      </c>
      <c r="SAI93" s="456" t="s">
        <v>116</v>
      </c>
      <c r="SAJ93" s="456" t="s">
        <v>116</v>
      </c>
      <c r="SAK93" s="456" t="s">
        <v>116</v>
      </c>
      <c r="SAL93" s="456" t="s">
        <v>116</v>
      </c>
      <c r="SAM93" s="456" t="s">
        <v>116</v>
      </c>
      <c r="SAN93" s="456" t="s">
        <v>116</v>
      </c>
      <c r="SAO93" s="456" t="s">
        <v>116</v>
      </c>
      <c r="SAP93" s="456" t="s">
        <v>116</v>
      </c>
      <c r="SAQ93" s="456" t="s">
        <v>116</v>
      </c>
      <c r="SAR93" s="456" t="s">
        <v>116</v>
      </c>
      <c r="SAS93" s="456" t="s">
        <v>116</v>
      </c>
      <c r="SAT93" s="456" t="s">
        <v>116</v>
      </c>
      <c r="SAU93" s="456" t="s">
        <v>116</v>
      </c>
      <c r="SAV93" s="456" t="s">
        <v>116</v>
      </c>
      <c r="SAW93" s="456" t="s">
        <v>116</v>
      </c>
      <c r="SAX93" s="456" t="s">
        <v>116</v>
      </c>
      <c r="SAY93" s="456" t="s">
        <v>116</v>
      </c>
      <c r="SAZ93" s="456" t="s">
        <v>116</v>
      </c>
      <c r="SBA93" s="456" t="s">
        <v>116</v>
      </c>
      <c r="SBB93" s="456" t="s">
        <v>116</v>
      </c>
      <c r="SBC93" s="456" t="s">
        <v>116</v>
      </c>
      <c r="SBD93" s="456" t="s">
        <v>116</v>
      </c>
      <c r="SBE93" s="456" t="s">
        <v>116</v>
      </c>
      <c r="SBF93" s="456" t="s">
        <v>116</v>
      </c>
      <c r="SBG93" s="456" t="s">
        <v>116</v>
      </c>
      <c r="SBH93" s="456" t="s">
        <v>116</v>
      </c>
      <c r="SBI93" s="456" t="s">
        <v>116</v>
      </c>
      <c r="SBJ93" s="456" t="s">
        <v>116</v>
      </c>
      <c r="SBK93" s="456" t="s">
        <v>116</v>
      </c>
      <c r="SBL93" s="456" t="s">
        <v>116</v>
      </c>
      <c r="SBM93" s="456" t="s">
        <v>116</v>
      </c>
      <c r="SBN93" s="456" t="s">
        <v>116</v>
      </c>
      <c r="SBO93" s="456" t="s">
        <v>116</v>
      </c>
      <c r="SBP93" s="456" t="s">
        <v>116</v>
      </c>
      <c r="SBQ93" s="456" t="s">
        <v>116</v>
      </c>
      <c r="SBR93" s="456" t="s">
        <v>116</v>
      </c>
      <c r="SBS93" s="456" t="s">
        <v>116</v>
      </c>
      <c r="SBT93" s="456" t="s">
        <v>116</v>
      </c>
      <c r="SBU93" s="456" t="s">
        <v>116</v>
      </c>
      <c r="SBV93" s="456" t="s">
        <v>116</v>
      </c>
      <c r="SBW93" s="456" t="s">
        <v>116</v>
      </c>
      <c r="SBX93" s="456" t="s">
        <v>116</v>
      </c>
      <c r="SBY93" s="456" t="s">
        <v>116</v>
      </c>
      <c r="SBZ93" s="456" t="s">
        <v>116</v>
      </c>
      <c r="SCA93" s="456" t="s">
        <v>116</v>
      </c>
      <c r="SCB93" s="456" t="s">
        <v>116</v>
      </c>
      <c r="SCC93" s="456" t="s">
        <v>116</v>
      </c>
      <c r="SCD93" s="456" t="s">
        <v>116</v>
      </c>
      <c r="SCE93" s="456" t="s">
        <v>116</v>
      </c>
      <c r="SCF93" s="456" t="s">
        <v>116</v>
      </c>
      <c r="SCG93" s="456" t="s">
        <v>116</v>
      </c>
      <c r="SCH93" s="456" t="s">
        <v>116</v>
      </c>
      <c r="SCI93" s="456" t="s">
        <v>116</v>
      </c>
      <c r="SCJ93" s="456" t="s">
        <v>116</v>
      </c>
      <c r="SCK93" s="456" t="s">
        <v>116</v>
      </c>
      <c r="SCL93" s="456" t="s">
        <v>116</v>
      </c>
      <c r="SCM93" s="456" t="s">
        <v>116</v>
      </c>
      <c r="SCN93" s="456" t="s">
        <v>116</v>
      </c>
      <c r="SCO93" s="456" t="s">
        <v>116</v>
      </c>
      <c r="SCP93" s="456" t="s">
        <v>116</v>
      </c>
      <c r="SCQ93" s="456" t="s">
        <v>116</v>
      </c>
      <c r="SCR93" s="456" t="s">
        <v>116</v>
      </c>
      <c r="SCS93" s="456" t="s">
        <v>116</v>
      </c>
      <c r="SCT93" s="456" t="s">
        <v>116</v>
      </c>
      <c r="SCU93" s="456" t="s">
        <v>116</v>
      </c>
      <c r="SCV93" s="456" t="s">
        <v>116</v>
      </c>
      <c r="SCW93" s="456" t="s">
        <v>116</v>
      </c>
      <c r="SCX93" s="456" t="s">
        <v>116</v>
      </c>
      <c r="SCY93" s="456" t="s">
        <v>116</v>
      </c>
      <c r="SCZ93" s="456" t="s">
        <v>116</v>
      </c>
      <c r="SDA93" s="456" t="s">
        <v>116</v>
      </c>
      <c r="SDB93" s="456" t="s">
        <v>116</v>
      </c>
      <c r="SDC93" s="456" t="s">
        <v>116</v>
      </c>
      <c r="SDD93" s="456" t="s">
        <v>116</v>
      </c>
      <c r="SDE93" s="456" t="s">
        <v>116</v>
      </c>
      <c r="SDF93" s="456" t="s">
        <v>116</v>
      </c>
      <c r="SDG93" s="456" t="s">
        <v>116</v>
      </c>
      <c r="SDH93" s="456" t="s">
        <v>116</v>
      </c>
      <c r="SDI93" s="456" t="s">
        <v>116</v>
      </c>
      <c r="SDJ93" s="456" t="s">
        <v>116</v>
      </c>
      <c r="SDK93" s="456" t="s">
        <v>116</v>
      </c>
      <c r="SDL93" s="456" t="s">
        <v>116</v>
      </c>
      <c r="SDM93" s="456" t="s">
        <v>116</v>
      </c>
      <c r="SDN93" s="456" t="s">
        <v>116</v>
      </c>
      <c r="SDO93" s="456" t="s">
        <v>116</v>
      </c>
      <c r="SDP93" s="456" t="s">
        <v>116</v>
      </c>
      <c r="SDQ93" s="456" t="s">
        <v>116</v>
      </c>
      <c r="SDR93" s="456" t="s">
        <v>116</v>
      </c>
      <c r="SDS93" s="456" t="s">
        <v>116</v>
      </c>
      <c r="SDT93" s="456" t="s">
        <v>116</v>
      </c>
      <c r="SDU93" s="456" t="s">
        <v>116</v>
      </c>
      <c r="SDV93" s="456" t="s">
        <v>116</v>
      </c>
      <c r="SDW93" s="456" t="s">
        <v>116</v>
      </c>
      <c r="SDX93" s="456" t="s">
        <v>116</v>
      </c>
      <c r="SDY93" s="456" t="s">
        <v>116</v>
      </c>
      <c r="SDZ93" s="456" t="s">
        <v>116</v>
      </c>
      <c r="SEA93" s="456" t="s">
        <v>116</v>
      </c>
      <c r="SEB93" s="456" t="s">
        <v>116</v>
      </c>
      <c r="SEC93" s="456" t="s">
        <v>116</v>
      </c>
      <c r="SED93" s="456" t="s">
        <v>116</v>
      </c>
      <c r="SEE93" s="456" t="s">
        <v>116</v>
      </c>
      <c r="SEF93" s="456" t="s">
        <v>116</v>
      </c>
      <c r="SEG93" s="456" t="s">
        <v>116</v>
      </c>
      <c r="SEH93" s="456" t="s">
        <v>116</v>
      </c>
      <c r="SEI93" s="456" t="s">
        <v>116</v>
      </c>
      <c r="SEJ93" s="456" t="s">
        <v>116</v>
      </c>
      <c r="SEK93" s="456" t="s">
        <v>116</v>
      </c>
      <c r="SEL93" s="456" t="s">
        <v>116</v>
      </c>
      <c r="SEM93" s="456" t="s">
        <v>116</v>
      </c>
      <c r="SEN93" s="456" t="s">
        <v>116</v>
      </c>
      <c r="SEO93" s="456" t="s">
        <v>116</v>
      </c>
      <c r="SEP93" s="456" t="s">
        <v>116</v>
      </c>
      <c r="SEQ93" s="456" t="s">
        <v>116</v>
      </c>
      <c r="SER93" s="456" t="s">
        <v>116</v>
      </c>
      <c r="SES93" s="456" t="s">
        <v>116</v>
      </c>
      <c r="SET93" s="456" t="s">
        <v>116</v>
      </c>
      <c r="SEU93" s="456" t="s">
        <v>116</v>
      </c>
      <c r="SEV93" s="456" t="s">
        <v>116</v>
      </c>
      <c r="SEW93" s="456" t="s">
        <v>116</v>
      </c>
      <c r="SEX93" s="456" t="s">
        <v>116</v>
      </c>
      <c r="SEY93" s="456" t="s">
        <v>116</v>
      </c>
      <c r="SEZ93" s="456" t="s">
        <v>116</v>
      </c>
      <c r="SFA93" s="456" t="s">
        <v>116</v>
      </c>
      <c r="SFB93" s="456" t="s">
        <v>116</v>
      </c>
      <c r="SFC93" s="456" t="s">
        <v>116</v>
      </c>
      <c r="SFD93" s="456" t="s">
        <v>116</v>
      </c>
      <c r="SFE93" s="456" t="s">
        <v>116</v>
      </c>
      <c r="SFF93" s="456" t="s">
        <v>116</v>
      </c>
      <c r="SFG93" s="456" t="s">
        <v>116</v>
      </c>
      <c r="SFH93" s="456" t="s">
        <v>116</v>
      </c>
      <c r="SFI93" s="456" t="s">
        <v>116</v>
      </c>
      <c r="SFJ93" s="456" t="s">
        <v>116</v>
      </c>
      <c r="SFK93" s="456" t="s">
        <v>116</v>
      </c>
      <c r="SFL93" s="456" t="s">
        <v>116</v>
      </c>
      <c r="SFM93" s="456" t="s">
        <v>116</v>
      </c>
      <c r="SFN93" s="456" t="s">
        <v>116</v>
      </c>
      <c r="SFO93" s="456" t="s">
        <v>116</v>
      </c>
      <c r="SFP93" s="456" t="s">
        <v>116</v>
      </c>
      <c r="SFQ93" s="456" t="s">
        <v>116</v>
      </c>
      <c r="SFR93" s="456" t="s">
        <v>116</v>
      </c>
      <c r="SFS93" s="456" t="s">
        <v>116</v>
      </c>
      <c r="SFT93" s="456" t="s">
        <v>116</v>
      </c>
      <c r="SFU93" s="456" t="s">
        <v>116</v>
      </c>
      <c r="SFV93" s="456" t="s">
        <v>116</v>
      </c>
      <c r="SFW93" s="456" t="s">
        <v>116</v>
      </c>
      <c r="SFX93" s="456" t="s">
        <v>116</v>
      </c>
      <c r="SFY93" s="456" t="s">
        <v>116</v>
      </c>
      <c r="SFZ93" s="456" t="s">
        <v>116</v>
      </c>
      <c r="SGA93" s="456" t="s">
        <v>116</v>
      </c>
      <c r="SGB93" s="456" t="s">
        <v>116</v>
      </c>
      <c r="SGC93" s="456" t="s">
        <v>116</v>
      </c>
      <c r="SGD93" s="456" t="s">
        <v>116</v>
      </c>
      <c r="SGE93" s="456" t="s">
        <v>116</v>
      </c>
      <c r="SGF93" s="456" t="s">
        <v>116</v>
      </c>
      <c r="SGG93" s="456" t="s">
        <v>116</v>
      </c>
      <c r="SGH93" s="456" t="s">
        <v>116</v>
      </c>
      <c r="SGI93" s="456" t="s">
        <v>116</v>
      </c>
      <c r="SGJ93" s="456" t="s">
        <v>116</v>
      </c>
      <c r="SGK93" s="456" t="s">
        <v>116</v>
      </c>
      <c r="SGL93" s="456" t="s">
        <v>116</v>
      </c>
      <c r="SGM93" s="456" t="s">
        <v>116</v>
      </c>
      <c r="SGN93" s="456" t="s">
        <v>116</v>
      </c>
      <c r="SGO93" s="456" t="s">
        <v>116</v>
      </c>
      <c r="SGP93" s="456" t="s">
        <v>116</v>
      </c>
      <c r="SGQ93" s="456" t="s">
        <v>116</v>
      </c>
      <c r="SGR93" s="456" t="s">
        <v>116</v>
      </c>
      <c r="SGS93" s="456" t="s">
        <v>116</v>
      </c>
      <c r="SGT93" s="456" t="s">
        <v>116</v>
      </c>
      <c r="SGU93" s="456" t="s">
        <v>116</v>
      </c>
      <c r="SGV93" s="456" t="s">
        <v>116</v>
      </c>
      <c r="SGW93" s="456" t="s">
        <v>116</v>
      </c>
      <c r="SGX93" s="456" t="s">
        <v>116</v>
      </c>
      <c r="SGY93" s="456" t="s">
        <v>116</v>
      </c>
      <c r="SGZ93" s="456" t="s">
        <v>116</v>
      </c>
      <c r="SHA93" s="456" t="s">
        <v>116</v>
      </c>
      <c r="SHB93" s="456" t="s">
        <v>116</v>
      </c>
      <c r="SHC93" s="456" t="s">
        <v>116</v>
      </c>
      <c r="SHD93" s="456" t="s">
        <v>116</v>
      </c>
      <c r="SHE93" s="456" t="s">
        <v>116</v>
      </c>
      <c r="SHF93" s="456" t="s">
        <v>116</v>
      </c>
      <c r="SHG93" s="456" t="s">
        <v>116</v>
      </c>
      <c r="SHH93" s="456" t="s">
        <v>116</v>
      </c>
      <c r="SHI93" s="456" t="s">
        <v>116</v>
      </c>
      <c r="SHJ93" s="456" t="s">
        <v>116</v>
      </c>
      <c r="SHK93" s="456" t="s">
        <v>116</v>
      </c>
      <c r="SHL93" s="456" t="s">
        <v>116</v>
      </c>
      <c r="SHM93" s="456" t="s">
        <v>116</v>
      </c>
      <c r="SHN93" s="456" t="s">
        <v>116</v>
      </c>
      <c r="SHO93" s="456" t="s">
        <v>116</v>
      </c>
      <c r="SHP93" s="456" t="s">
        <v>116</v>
      </c>
      <c r="SHQ93" s="456" t="s">
        <v>116</v>
      </c>
      <c r="SHR93" s="456" t="s">
        <v>116</v>
      </c>
      <c r="SHS93" s="456" t="s">
        <v>116</v>
      </c>
      <c r="SHT93" s="456" t="s">
        <v>116</v>
      </c>
      <c r="SHU93" s="456" t="s">
        <v>116</v>
      </c>
      <c r="SHV93" s="456" t="s">
        <v>116</v>
      </c>
      <c r="SHW93" s="456" t="s">
        <v>116</v>
      </c>
      <c r="SHX93" s="456" t="s">
        <v>116</v>
      </c>
      <c r="SHY93" s="456" t="s">
        <v>116</v>
      </c>
      <c r="SHZ93" s="456" t="s">
        <v>116</v>
      </c>
      <c r="SIA93" s="456" t="s">
        <v>116</v>
      </c>
      <c r="SIB93" s="456" t="s">
        <v>116</v>
      </c>
      <c r="SIC93" s="456" t="s">
        <v>116</v>
      </c>
      <c r="SID93" s="456" t="s">
        <v>116</v>
      </c>
      <c r="SIE93" s="456" t="s">
        <v>116</v>
      </c>
      <c r="SIF93" s="456" t="s">
        <v>116</v>
      </c>
      <c r="SIG93" s="456" t="s">
        <v>116</v>
      </c>
      <c r="SIH93" s="456" t="s">
        <v>116</v>
      </c>
      <c r="SII93" s="456" t="s">
        <v>116</v>
      </c>
      <c r="SIJ93" s="456" t="s">
        <v>116</v>
      </c>
      <c r="SIK93" s="456" t="s">
        <v>116</v>
      </c>
      <c r="SIL93" s="456" t="s">
        <v>116</v>
      </c>
      <c r="SIM93" s="456" t="s">
        <v>116</v>
      </c>
      <c r="SIN93" s="456" t="s">
        <v>116</v>
      </c>
      <c r="SIO93" s="456" t="s">
        <v>116</v>
      </c>
      <c r="SIP93" s="456" t="s">
        <v>116</v>
      </c>
      <c r="SIQ93" s="456" t="s">
        <v>116</v>
      </c>
      <c r="SIR93" s="456" t="s">
        <v>116</v>
      </c>
      <c r="SIS93" s="456" t="s">
        <v>116</v>
      </c>
      <c r="SIT93" s="456" t="s">
        <v>116</v>
      </c>
      <c r="SIU93" s="456" t="s">
        <v>116</v>
      </c>
      <c r="SIV93" s="456" t="s">
        <v>116</v>
      </c>
      <c r="SIW93" s="456" t="s">
        <v>116</v>
      </c>
      <c r="SIX93" s="456" t="s">
        <v>116</v>
      </c>
      <c r="SIY93" s="456" t="s">
        <v>116</v>
      </c>
      <c r="SIZ93" s="456" t="s">
        <v>116</v>
      </c>
      <c r="SJA93" s="456" t="s">
        <v>116</v>
      </c>
      <c r="SJB93" s="456" t="s">
        <v>116</v>
      </c>
      <c r="SJC93" s="456" t="s">
        <v>116</v>
      </c>
      <c r="SJD93" s="456" t="s">
        <v>116</v>
      </c>
      <c r="SJE93" s="456" t="s">
        <v>116</v>
      </c>
      <c r="SJF93" s="456" t="s">
        <v>116</v>
      </c>
      <c r="SJG93" s="456" t="s">
        <v>116</v>
      </c>
      <c r="SJH93" s="456" t="s">
        <v>116</v>
      </c>
      <c r="SJI93" s="456" t="s">
        <v>116</v>
      </c>
      <c r="SJJ93" s="456" t="s">
        <v>116</v>
      </c>
      <c r="SJK93" s="456" t="s">
        <v>116</v>
      </c>
      <c r="SJL93" s="456" t="s">
        <v>116</v>
      </c>
      <c r="SJM93" s="456" t="s">
        <v>116</v>
      </c>
      <c r="SJN93" s="456" t="s">
        <v>116</v>
      </c>
      <c r="SJO93" s="456" t="s">
        <v>116</v>
      </c>
      <c r="SJP93" s="456" t="s">
        <v>116</v>
      </c>
      <c r="SJQ93" s="456" t="s">
        <v>116</v>
      </c>
      <c r="SJR93" s="456" t="s">
        <v>116</v>
      </c>
      <c r="SJS93" s="456" t="s">
        <v>116</v>
      </c>
      <c r="SJT93" s="456" t="s">
        <v>116</v>
      </c>
      <c r="SJU93" s="456" t="s">
        <v>116</v>
      </c>
      <c r="SJV93" s="456" t="s">
        <v>116</v>
      </c>
      <c r="SJW93" s="456" t="s">
        <v>116</v>
      </c>
      <c r="SJX93" s="456" t="s">
        <v>116</v>
      </c>
      <c r="SJY93" s="456" t="s">
        <v>116</v>
      </c>
      <c r="SJZ93" s="456" t="s">
        <v>116</v>
      </c>
      <c r="SKA93" s="456" t="s">
        <v>116</v>
      </c>
      <c r="SKB93" s="456" t="s">
        <v>116</v>
      </c>
      <c r="SKC93" s="456" t="s">
        <v>116</v>
      </c>
      <c r="SKD93" s="456" t="s">
        <v>116</v>
      </c>
      <c r="SKE93" s="456" t="s">
        <v>116</v>
      </c>
      <c r="SKF93" s="456" t="s">
        <v>116</v>
      </c>
      <c r="SKG93" s="456" t="s">
        <v>116</v>
      </c>
      <c r="SKH93" s="456" t="s">
        <v>116</v>
      </c>
      <c r="SKI93" s="456" t="s">
        <v>116</v>
      </c>
      <c r="SKJ93" s="456" t="s">
        <v>116</v>
      </c>
      <c r="SKK93" s="456" t="s">
        <v>116</v>
      </c>
      <c r="SKL93" s="456" t="s">
        <v>116</v>
      </c>
      <c r="SKM93" s="456" t="s">
        <v>116</v>
      </c>
      <c r="SKN93" s="456" t="s">
        <v>116</v>
      </c>
      <c r="SKO93" s="456" t="s">
        <v>116</v>
      </c>
      <c r="SKP93" s="456" t="s">
        <v>116</v>
      </c>
      <c r="SKQ93" s="456" t="s">
        <v>116</v>
      </c>
      <c r="SKR93" s="456" t="s">
        <v>116</v>
      </c>
      <c r="SKS93" s="456" t="s">
        <v>116</v>
      </c>
      <c r="SKT93" s="456" t="s">
        <v>116</v>
      </c>
      <c r="SKU93" s="456" t="s">
        <v>116</v>
      </c>
      <c r="SKV93" s="456" t="s">
        <v>116</v>
      </c>
      <c r="SKW93" s="456" t="s">
        <v>116</v>
      </c>
      <c r="SKX93" s="456" t="s">
        <v>116</v>
      </c>
      <c r="SKY93" s="456" t="s">
        <v>116</v>
      </c>
      <c r="SKZ93" s="456" t="s">
        <v>116</v>
      </c>
      <c r="SLA93" s="456" t="s">
        <v>116</v>
      </c>
      <c r="SLB93" s="456" t="s">
        <v>116</v>
      </c>
      <c r="SLC93" s="456" t="s">
        <v>116</v>
      </c>
      <c r="SLD93" s="456" t="s">
        <v>116</v>
      </c>
      <c r="SLE93" s="456" t="s">
        <v>116</v>
      </c>
      <c r="SLF93" s="456" t="s">
        <v>116</v>
      </c>
      <c r="SLG93" s="456" t="s">
        <v>116</v>
      </c>
      <c r="SLH93" s="456" t="s">
        <v>116</v>
      </c>
      <c r="SLI93" s="456" t="s">
        <v>116</v>
      </c>
      <c r="SLJ93" s="456" t="s">
        <v>116</v>
      </c>
      <c r="SLK93" s="456" t="s">
        <v>116</v>
      </c>
      <c r="SLL93" s="456" t="s">
        <v>116</v>
      </c>
      <c r="SLM93" s="456" t="s">
        <v>116</v>
      </c>
      <c r="SLN93" s="456" t="s">
        <v>116</v>
      </c>
      <c r="SLO93" s="456" t="s">
        <v>116</v>
      </c>
      <c r="SLP93" s="456" t="s">
        <v>116</v>
      </c>
      <c r="SLQ93" s="456" t="s">
        <v>116</v>
      </c>
      <c r="SLR93" s="456" t="s">
        <v>116</v>
      </c>
      <c r="SLS93" s="456" t="s">
        <v>116</v>
      </c>
      <c r="SLT93" s="456" t="s">
        <v>116</v>
      </c>
      <c r="SLU93" s="456" t="s">
        <v>116</v>
      </c>
      <c r="SLV93" s="456" t="s">
        <v>116</v>
      </c>
      <c r="SLW93" s="456" t="s">
        <v>116</v>
      </c>
      <c r="SLX93" s="456" t="s">
        <v>116</v>
      </c>
      <c r="SLY93" s="456" t="s">
        <v>116</v>
      </c>
      <c r="SLZ93" s="456" t="s">
        <v>116</v>
      </c>
      <c r="SMA93" s="456" t="s">
        <v>116</v>
      </c>
      <c r="SMB93" s="456" t="s">
        <v>116</v>
      </c>
      <c r="SMC93" s="456" t="s">
        <v>116</v>
      </c>
      <c r="SMD93" s="456" t="s">
        <v>116</v>
      </c>
      <c r="SME93" s="456" t="s">
        <v>116</v>
      </c>
      <c r="SMF93" s="456" t="s">
        <v>116</v>
      </c>
      <c r="SMG93" s="456" t="s">
        <v>116</v>
      </c>
      <c r="SMH93" s="456" t="s">
        <v>116</v>
      </c>
      <c r="SMI93" s="456" t="s">
        <v>116</v>
      </c>
      <c r="SMJ93" s="456" t="s">
        <v>116</v>
      </c>
      <c r="SMK93" s="456" t="s">
        <v>116</v>
      </c>
      <c r="SML93" s="456" t="s">
        <v>116</v>
      </c>
      <c r="SMM93" s="456" t="s">
        <v>116</v>
      </c>
      <c r="SMN93" s="456" t="s">
        <v>116</v>
      </c>
      <c r="SMO93" s="456" t="s">
        <v>116</v>
      </c>
      <c r="SMP93" s="456" t="s">
        <v>116</v>
      </c>
      <c r="SMQ93" s="456" t="s">
        <v>116</v>
      </c>
      <c r="SMR93" s="456" t="s">
        <v>116</v>
      </c>
      <c r="SMS93" s="456" t="s">
        <v>116</v>
      </c>
      <c r="SMT93" s="456" t="s">
        <v>116</v>
      </c>
      <c r="SMU93" s="456" t="s">
        <v>116</v>
      </c>
      <c r="SMV93" s="456" t="s">
        <v>116</v>
      </c>
      <c r="SMW93" s="456" t="s">
        <v>116</v>
      </c>
      <c r="SMX93" s="456" t="s">
        <v>116</v>
      </c>
      <c r="SMY93" s="456" t="s">
        <v>116</v>
      </c>
      <c r="SMZ93" s="456" t="s">
        <v>116</v>
      </c>
      <c r="SNA93" s="456" t="s">
        <v>116</v>
      </c>
      <c r="SNB93" s="456" t="s">
        <v>116</v>
      </c>
      <c r="SNC93" s="456" t="s">
        <v>116</v>
      </c>
      <c r="SND93" s="456" t="s">
        <v>116</v>
      </c>
      <c r="SNE93" s="456" t="s">
        <v>116</v>
      </c>
      <c r="SNF93" s="456" t="s">
        <v>116</v>
      </c>
      <c r="SNG93" s="456" t="s">
        <v>116</v>
      </c>
      <c r="SNH93" s="456" t="s">
        <v>116</v>
      </c>
      <c r="SNI93" s="456" t="s">
        <v>116</v>
      </c>
      <c r="SNJ93" s="456" t="s">
        <v>116</v>
      </c>
      <c r="SNK93" s="456" t="s">
        <v>116</v>
      </c>
      <c r="SNL93" s="456" t="s">
        <v>116</v>
      </c>
      <c r="SNM93" s="456" t="s">
        <v>116</v>
      </c>
      <c r="SNN93" s="456" t="s">
        <v>116</v>
      </c>
      <c r="SNO93" s="456" t="s">
        <v>116</v>
      </c>
      <c r="SNP93" s="456" t="s">
        <v>116</v>
      </c>
      <c r="SNQ93" s="456" t="s">
        <v>116</v>
      </c>
      <c r="SNR93" s="456" t="s">
        <v>116</v>
      </c>
      <c r="SNS93" s="456" t="s">
        <v>116</v>
      </c>
      <c r="SNT93" s="456" t="s">
        <v>116</v>
      </c>
      <c r="SNU93" s="456" t="s">
        <v>116</v>
      </c>
      <c r="SNV93" s="456" t="s">
        <v>116</v>
      </c>
      <c r="SNW93" s="456" t="s">
        <v>116</v>
      </c>
      <c r="SNX93" s="456" t="s">
        <v>116</v>
      </c>
      <c r="SNY93" s="456" t="s">
        <v>116</v>
      </c>
      <c r="SNZ93" s="456" t="s">
        <v>116</v>
      </c>
      <c r="SOA93" s="456" t="s">
        <v>116</v>
      </c>
      <c r="SOB93" s="456" t="s">
        <v>116</v>
      </c>
      <c r="SOC93" s="456" t="s">
        <v>116</v>
      </c>
      <c r="SOD93" s="456" t="s">
        <v>116</v>
      </c>
      <c r="SOE93" s="456" t="s">
        <v>116</v>
      </c>
      <c r="SOF93" s="456" t="s">
        <v>116</v>
      </c>
      <c r="SOG93" s="456" t="s">
        <v>116</v>
      </c>
      <c r="SOH93" s="456" t="s">
        <v>116</v>
      </c>
      <c r="SOI93" s="456" t="s">
        <v>116</v>
      </c>
      <c r="SOJ93" s="456" t="s">
        <v>116</v>
      </c>
      <c r="SOK93" s="456" t="s">
        <v>116</v>
      </c>
      <c r="SOL93" s="456" t="s">
        <v>116</v>
      </c>
      <c r="SOM93" s="456" t="s">
        <v>116</v>
      </c>
      <c r="SON93" s="456" t="s">
        <v>116</v>
      </c>
      <c r="SOO93" s="456" t="s">
        <v>116</v>
      </c>
      <c r="SOP93" s="456" t="s">
        <v>116</v>
      </c>
      <c r="SOQ93" s="456" t="s">
        <v>116</v>
      </c>
      <c r="SOR93" s="456" t="s">
        <v>116</v>
      </c>
      <c r="SOS93" s="456" t="s">
        <v>116</v>
      </c>
      <c r="SOT93" s="456" t="s">
        <v>116</v>
      </c>
      <c r="SOU93" s="456" t="s">
        <v>116</v>
      </c>
      <c r="SOV93" s="456" t="s">
        <v>116</v>
      </c>
      <c r="SOW93" s="456" t="s">
        <v>116</v>
      </c>
      <c r="SOX93" s="456" t="s">
        <v>116</v>
      </c>
      <c r="SOY93" s="456" t="s">
        <v>116</v>
      </c>
      <c r="SOZ93" s="456" t="s">
        <v>116</v>
      </c>
      <c r="SPA93" s="456" t="s">
        <v>116</v>
      </c>
      <c r="SPB93" s="456" t="s">
        <v>116</v>
      </c>
      <c r="SPC93" s="456" t="s">
        <v>116</v>
      </c>
      <c r="SPD93" s="456" t="s">
        <v>116</v>
      </c>
      <c r="SPE93" s="456" t="s">
        <v>116</v>
      </c>
      <c r="SPF93" s="456" t="s">
        <v>116</v>
      </c>
      <c r="SPG93" s="456" t="s">
        <v>116</v>
      </c>
      <c r="SPH93" s="456" t="s">
        <v>116</v>
      </c>
      <c r="SPI93" s="456" t="s">
        <v>116</v>
      </c>
      <c r="SPJ93" s="456" t="s">
        <v>116</v>
      </c>
      <c r="SPK93" s="456" t="s">
        <v>116</v>
      </c>
      <c r="SPL93" s="456" t="s">
        <v>116</v>
      </c>
      <c r="SPM93" s="456" t="s">
        <v>116</v>
      </c>
      <c r="SPN93" s="456" t="s">
        <v>116</v>
      </c>
      <c r="SPO93" s="456" t="s">
        <v>116</v>
      </c>
      <c r="SPP93" s="456" t="s">
        <v>116</v>
      </c>
      <c r="SPQ93" s="456" t="s">
        <v>116</v>
      </c>
      <c r="SPR93" s="456" t="s">
        <v>116</v>
      </c>
      <c r="SPS93" s="456" t="s">
        <v>116</v>
      </c>
      <c r="SPT93" s="456" t="s">
        <v>116</v>
      </c>
      <c r="SPU93" s="456" t="s">
        <v>116</v>
      </c>
      <c r="SPV93" s="456" t="s">
        <v>116</v>
      </c>
      <c r="SPW93" s="456" t="s">
        <v>116</v>
      </c>
      <c r="SPX93" s="456" t="s">
        <v>116</v>
      </c>
      <c r="SPY93" s="456" t="s">
        <v>116</v>
      </c>
      <c r="SPZ93" s="456" t="s">
        <v>116</v>
      </c>
      <c r="SQA93" s="456" t="s">
        <v>116</v>
      </c>
      <c r="SQB93" s="456" t="s">
        <v>116</v>
      </c>
      <c r="SQC93" s="456" t="s">
        <v>116</v>
      </c>
      <c r="SQD93" s="456" t="s">
        <v>116</v>
      </c>
      <c r="SQE93" s="456" t="s">
        <v>116</v>
      </c>
      <c r="SQF93" s="456" t="s">
        <v>116</v>
      </c>
      <c r="SQG93" s="456" t="s">
        <v>116</v>
      </c>
      <c r="SQH93" s="456" t="s">
        <v>116</v>
      </c>
      <c r="SQI93" s="456" t="s">
        <v>116</v>
      </c>
      <c r="SQJ93" s="456" t="s">
        <v>116</v>
      </c>
      <c r="SQK93" s="456" t="s">
        <v>116</v>
      </c>
      <c r="SQL93" s="456" t="s">
        <v>116</v>
      </c>
      <c r="SQM93" s="456" t="s">
        <v>116</v>
      </c>
      <c r="SQN93" s="456" t="s">
        <v>116</v>
      </c>
      <c r="SQO93" s="456" t="s">
        <v>116</v>
      </c>
      <c r="SQP93" s="456" t="s">
        <v>116</v>
      </c>
      <c r="SQQ93" s="456" t="s">
        <v>116</v>
      </c>
      <c r="SQR93" s="456" t="s">
        <v>116</v>
      </c>
      <c r="SQS93" s="456" t="s">
        <v>116</v>
      </c>
      <c r="SQT93" s="456" t="s">
        <v>116</v>
      </c>
      <c r="SQU93" s="456" t="s">
        <v>116</v>
      </c>
      <c r="SQV93" s="456" t="s">
        <v>116</v>
      </c>
      <c r="SQW93" s="456" t="s">
        <v>116</v>
      </c>
      <c r="SQX93" s="456" t="s">
        <v>116</v>
      </c>
      <c r="SQY93" s="456" t="s">
        <v>116</v>
      </c>
      <c r="SQZ93" s="456" t="s">
        <v>116</v>
      </c>
      <c r="SRA93" s="456" t="s">
        <v>116</v>
      </c>
      <c r="SRB93" s="456" t="s">
        <v>116</v>
      </c>
      <c r="SRC93" s="456" t="s">
        <v>116</v>
      </c>
      <c r="SRD93" s="456" t="s">
        <v>116</v>
      </c>
      <c r="SRE93" s="456" t="s">
        <v>116</v>
      </c>
      <c r="SRF93" s="456" t="s">
        <v>116</v>
      </c>
      <c r="SRG93" s="456" t="s">
        <v>116</v>
      </c>
      <c r="SRH93" s="456" t="s">
        <v>116</v>
      </c>
      <c r="SRI93" s="456" t="s">
        <v>116</v>
      </c>
      <c r="SRJ93" s="456" t="s">
        <v>116</v>
      </c>
      <c r="SRK93" s="456" t="s">
        <v>116</v>
      </c>
      <c r="SRL93" s="456" t="s">
        <v>116</v>
      </c>
      <c r="SRM93" s="456" t="s">
        <v>116</v>
      </c>
      <c r="SRN93" s="456" t="s">
        <v>116</v>
      </c>
      <c r="SRO93" s="456" t="s">
        <v>116</v>
      </c>
      <c r="SRP93" s="456" t="s">
        <v>116</v>
      </c>
      <c r="SRQ93" s="456" t="s">
        <v>116</v>
      </c>
      <c r="SRR93" s="456" t="s">
        <v>116</v>
      </c>
      <c r="SRS93" s="456" t="s">
        <v>116</v>
      </c>
      <c r="SRT93" s="456" t="s">
        <v>116</v>
      </c>
      <c r="SRU93" s="456" t="s">
        <v>116</v>
      </c>
      <c r="SRV93" s="456" t="s">
        <v>116</v>
      </c>
      <c r="SRW93" s="456" t="s">
        <v>116</v>
      </c>
      <c r="SRX93" s="456" t="s">
        <v>116</v>
      </c>
      <c r="SRY93" s="456" t="s">
        <v>116</v>
      </c>
      <c r="SRZ93" s="456" t="s">
        <v>116</v>
      </c>
      <c r="SSA93" s="456" t="s">
        <v>116</v>
      </c>
      <c r="SSB93" s="456" t="s">
        <v>116</v>
      </c>
      <c r="SSC93" s="456" t="s">
        <v>116</v>
      </c>
      <c r="SSD93" s="456" t="s">
        <v>116</v>
      </c>
      <c r="SSE93" s="456" t="s">
        <v>116</v>
      </c>
      <c r="SSF93" s="456" t="s">
        <v>116</v>
      </c>
      <c r="SSG93" s="456" t="s">
        <v>116</v>
      </c>
      <c r="SSH93" s="456" t="s">
        <v>116</v>
      </c>
      <c r="SSI93" s="456" t="s">
        <v>116</v>
      </c>
      <c r="SSJ93" s="456" t="s">
        <v>116</v>
      </c>
      <c r="SSK93" s="456" t="s">
        <v>116</v>
      </c>
      <c r="SSL93" s="456" t="s">
        <v>116</v>
      </c>
      <c r="SSM93" s="456" t="s">
        <v>116</v>
      </c>
      <c r="SSN93" s="456" t="s">
        <v>116</v>
      </c>
      <c r="SSO93" s="456" t="s">
        <v>116</v>
      </c>
      <c r="SSP93" s="456" t="s">
        <v>116</v>
      </c>
      <c r="SSQ93" s="456" t="s">
        <v>116</v>
      </c>
      <c r="SSR93" s="456" t="s">
        <v>116</v>
      </c>
      <c r="SSS93" s="456" t="s">
        <v>116</v>
      </c>
      <c r="SST93" s="456" t="s">
        <v>116</v>
      </c>
      <c r="SSU93" s="456" t="s">
        <v>116</v>
      </c>
      <c r="SSV93" s="456" t="s">
        <v>116</v>
      </c>
      <c r="SSW93" s="456" t="s">
        <v>116</v>
      </c>
      <c r="SSX93" s="456" t="s">
        <v>116</v>
      </c>
      <c r="SSY93" s="456" t="s">
        <v>116</v>
      </c>
      <c r="SSZ93" s="456" t="s">
        <v>116</v>
      </c>
      <c r="STA93" s="456" t="s">
        <v>116</v>
      </c>
      <c r="STB93" s="456" t="s">
        <v>116</v>
      </c>
      <c r="STC93" s="456" t="s">
        <v>116</v>
      </c>
      <c r="STD93" s="456" t="s">
        <v>116</v>
      </c>
      <c r="STE93" s="456" t="s">
        <v>116</v>
      </c>
      <c r="STF93" s="456" t="s">
        <v>116</v>
      </c>
      <c r="STG93" s="456" t="s">
        <v>116</v>
      </c>
      <c r="STH93" s="456" t="s">
        <v>116</v>
      </c>
      <c r="STI93" s="456" t="s">
        <v>116</v>
      </c>
      <c r="STJ93" s="456" t="s">
        <v>116</v>
      </c>
      <c r="STK93" s="456" t="s">
        <v>116</v>
      </c>
      <c r="STL93" s="456" t="s">
        <v>116</v>
      </c>
      <c r="STM93" s="456" t="s">
        <v>116</v>
      </c>
      <c r="STN93" s="456" t="s">
        <v>116</v>
      </c>
      <c r="STO93" s="456" t="s">
        <v>116</v>
      </c>
      <c r="STP93" s="456" t="s">
        <v>116</v>
      </c>
      <c r="STQ93" s="456" t="s">
        <v>116</v>
      </c>
      <c r="STR93" s="456" t="s">
        <v>116</v>
      </c>
      <c r="STS93" s="456" t="s">
        <v>116</v>
      </c>
      <c r="STT93" s="456" t="s">
        <v>116</v>
      </c>
      <c r="STU93" s="456" t="s">
        <v>116</v>
      </c>
      <c r="STV93" s="456" t="s">
        <v>116</v>
      </c>
      <c r="STW93" s="456" t="s">
        <v>116</v>
      </c>
      <c r="STX93" s="456" t="s">
        <v>116</v>
      </c>
      <c r="STY93" s="456" t="s">
        <v>116</v>
      </c>
      <c r="STZ93" s="456" t="s">
        <v>116</v>
      </c>
      <c r="SUA93" s="456" t="s">
        <v>116</v>
      </c>
      <c r="SUB93" s="456" t="s">
        <v>116</v>
      </c>
      <c r="SUC93" s="456" t="s">
        <v>116</v>
      </c>
      <c r="SUD93" s="456" t="s">
        <v>116</v>
      </c>
      <c r="SUE93" s="456" t="s">
        <v>116</v>
      </c>
      <c r="SUF93" s="456" t="s">
        <v>116</v>
      </c>
      <c r="SUG93" s="456" t="s">
        <v>116</v>
      </c>
      <c r="SUH93" s="456" t="s">
        <v>116</v>
      </c>
      <c r="SUI93" s="456" t="s">
        <v>116</v>
      </c>
      <c r="SUJ93" s="456" t="s">
        <v>116</v>
      </c>
      <c r="SUK93" s="456" t="s">
        <v>116</v>
      </c>
      <c r="SUL93" s="456" t="s">
        <v>116</v>
      </c>
      <c r="SUM93" s="456" t="s">
        <v>116</v>
      </c>
      <c r="SUN93" s="456" t="s">
        <v>116</v>
      </c>
      <c r="SUO93" s="456" t="s">
        <v>116</v>
      </c>
      <c r="SUP93" s="456" t="s">
        <v>116</v>
      </c>
      <c r="SUQ93" s="456" t="s">
        <v>116</v>
      </c>
      <c r="SUR93" s="456" t="s">
        <v>116</v>
      </c>
      <c r="SUS93" s="456" t="s">
        <v>116</v>
      </c>
      <c r="SUT93" s="456" t="s">
        <v>116</v>
      </c>
      <c r="SUU93" s="456" t="s">
        <v>116</v>
      </c>
      <c r="SUV93" s="456" t="s">
        <v>116</v>
      </c>
      <c r="SUW93" s="456" t="s">
        <v>116</v>
      </c>
      <c r="SUX93" s="456" t="s">
        <v>116</v>
      </c>
      <c r="SUY93" s="456" t="s">
        <v>116</v>
      </c>
      <c r="SUZ93" s="456" t="s">
        <v>116</v>
      </c>
      <c r="SVA93" s="456" t="s">
        <v>116</v>
      </c>
      <c r="SVB93" s="456" t="s">
        <v>116</v>
      </c>
      <c r="SVC93" s="456" t="s">
        <v>116</v>
      </c>
      <c r="SVD93" s="456" t="s">
        <v>116</v>
      </c>
      <c r="SVE93" s="456" t="s">
        <v>116</v>
      </c>
      <c r="SVF93" s="456" t="s">
        <v>116</v>
      </c>
      <c r="SVG93" s="456" t="s">
        <v>116</v>
      </c>
      <c r="SVH93" s="456" t="s">
        <v>116</v>
      </c>
      <c r="SVI93" s="456" t="s">
        <v>116</v>
      </c>
      <c r="SVJ93" s="456" t="s">
        <v>116</v>
      </c>
      <c r="SVK93" s="456" t="s">
        <v>116</v>
      </c>
      <c r="SVL93" s="456" t="s">
        <v>116</v>
      </c>
      <c r="SVM93" s="456" t="s">
        <v>116</v>
      </c>
      <c r="SVN93" s="456" t="s">
        <v>116</v>
      </c>
      <c r="SVO93" s="456" t="s">
        <v>116</v>
      </c>
      <c r="SVP93" s="456" t="s">
        <v>116</v>
      </c>
      <c r="SVQ93" s="456" t="s">
        <v>116</v>
      </c>
      <c r="SVR93" s="456" t="s">
        <v>116</v>
      </c>
      <c r="SVS93" s="456" t="s">
        <v>116</v>
      </c>
      <c r="SVT93" s="456" t="s">
        <v>116</v>
      </c>
      <c r="SVU93" s="456" t="s">
        <v>116</v>
      </c>
      <c r="SVV93" s="456" t="s">
        <v>116</v>
      </c>
      <c r="SVW93" s="456" t="s">
        <v>116</v>
      </c>
      <c r="SVX93" s="456" t="s">
        <v>116</v>
      </c>
      <c r="SVY93" s="456" t="s">
        <v>116</v>
      </c>
      <c r="SVZ93" s="456" t="s">
        <v>116</v>
      </c>
      <c r="SWA93" s="456" t="s">
        <v>116</v>
      </c>
      <c r="SWB93" s="456" t="s">
        <v>116</v>
      </c>
      <c r="SWC93" s="456" t="s">
        <v>116</v>
      </c>
      <c r="SWD93" s="456" t="s">
        <v>116</v>
      </c>
      <c r="SWE93" s="456" t="s">
        <v>116</v>
      </c>
      <c r="SWF93" s="456" t="s">
        <v>116</v>
      </c>
      <c r="SWG93" s="456" t="s">
        <v>116</v>
      </c>
      <c r="SWH93" s="456" t="s">
        <v>116</v>
      </c>
      <c r="SWI93" s="456" t="s">
        <v>116</v>
      </c>
      <c r="SWJ93" s="456" t="s">
        <v>116</v>
      </c>
      <c r="SWK93" s="456" t="s">
        <v>116</v>
      </c>
      <c r="SWL93" s="456" t="s">
        <v>116</v>
      </c>
      <c r="SWM93" s="456" t="s">
        <v>116</v>
      </c>
      <c r="SWN93" s="456" t="s">
        <v>116</v>
      </c>
      <c r="SWO93" s="456" t="s">
        <v>116</v>
      </c>
      <c r="SWP93" s="456" t="s">
        <v>116</v>
      </c>
      <c r="SWQ93" s="456" t="s">
        <v>116</v>
      </c>
      <c r="SWR93" s="456" t="s">
        <v>116</v>
      </c>
      <c r="SWS93" s="456" t="s">
        <v>116</v>
      </c>
      <c r="SWT93" s="456" t="s">
        <v>116</v>
      </c>
      <c r="SWU93" s="456" t="s">
        <v>116</v>
      </c>
      <c r="SWV93" s="456" t="s">
        <v>116</v>
      </c>
      <c r="SWW93" s="456" t="s">
        <v>116</v>
      </c>
      <c r="SWX93" s="456" t="s">
        <v>116</v>
      </c>
      <c r="SWY93" s="456" t="s">
        <v>116</v>
      </c>
      <c r="SWZ93" s="456" t="s">
        <v>116</v>
      </c>
      <c r="SXA93" s="456" t="s">
        <v>116</v>
      </c>
      <c r="SXB93" s="456" t="s">
        <v>116</v>
      </c>
      <c r="SXC93" s="456" t="s">
        <v>116</v>
      </c>
      <c r="SXD93" s="456" t="s">
        <v>116</v>
      </c>
      <c r="SXE93" s="456" t="s">
        <v>116</v>
      </c>
      <c r="SXF93" s="456" t="s">
        <v>116</v>
      </c>
      <c r="SXG93" s="456" t="s">
        <v>116</v>
      </c>
      <c r="SXH93" s="456" t="s">
        <v>116</v>
      </c>
      <c r="SXI93" s="456" t="s">
        <v>116</v>
      </c>
      <c r="SXJ93" s="456" t="s">
        <v>116</v>
      </c>
      <c r="SXK93" s="456" t="s">
        <v>116</v>
      </c>
      <c r="SXL93" s="456" t="s">
        <v>116</v>
      </c>
      <c r="SXM93" s="456" t="s">
        <v>116</v>
      </c>
      <c r="SXN93" s="456" t="s">
        <v>116</v>
      </c>
      <c r="SXO93" s="456" t="s">
        <v>116</v>
      </c>
      <c r="SXP93" s="456" t="s">
        <v>116</v>
      </c>
      <c r="SXQ93" s="456" t="s">
        <v>116</v>
      </c>
      <c r="SXR93" s="456" t="s">
        <v>116</v>
      </c>
      <c r="SXS93" s="456" t="s">
        <v>116</v>
      </c>
      <c r="SXT93" s="456" t="s">
        <v>116</v>
      </c>
      <c r="SXU93" s="456" t="s">
        <v>116</v>
      </c>
      <c r="SXV93" s="456" t="s">
        <v>116</v>
      </c>
      <c r="SXW93" s="456" t="s">
        <v>116</v>
      </c>
      <c r="SXX93" s="456" t="s">
        <v>116</v>
      </c>
      <c r="SXY93" s="456" t="s">
        <v>116</v>
      </c>
      <c r="SXZ93" s="456" t="s">
        <v>116</v>
      </c>
      <c r="SYA93" s="456" t="s">
        <v>116</v>
      </c>
      <c r="SYB93" s="456" t="s">
        <v>116</v>
      </c>
      <c r="SYC93" s="456" t="s">
        <v>116</v>
      </c>
      <c r="SYD93" s="456" t="s">
        <v>116</v>
      </c>
      <c r="SYE93" s="456" t="s">
        <v>116</v>
      </c>
      <c r="SYF93" s="456" t="s">
        <v>116</v>
      </c>
      <c r="SYG93" s="456" t="s">
        <v>116</v>
      </c>
      <c r="SYH93" s="456" t="s">
        <v>116</v>
      </c>
      <c r="SYI93" s="456" t="s">
        <v>116</v>
      </c>
      <c r="SYJ93" s="456" t="s">
        <v>116</v>
      </c>
      <c r="SYK93" s="456" t="s">
        <v>116</v>
      </c>
      <c r="SYL93" s="456" t="s">
        <v>116</v>
      </c>
      <c r="SYM93" s="456" t="s">
        <v>116</v>
      </c>
      <c r="SYN93" s="456" t="s">
        <v>116</v>
      </c>
      <c r="SYO93" s="456" t="s">
        <v>116</v>
      </c>
      <c r="SYP93" s="456" t="s">
        <v>116</v>
      </c>
      <c r="SYQ93" s="456" t="s">
        <v>116</v>
      </c>
      <c r="SYR93" s="456" t="s">
        <v>116</v>
      </c>
      <c r="SYS93" s="456" t="s">
        <v>116</v>
      </c>
      <c r="SYT93" s="456" t="s">
        <v>116</v>
      </c>
      <c r="SYU93" s="456" t="s">
        <v>116</v>
      </c>
      <c r="SYV93" s="456" t="s">
        <v>116</v>
      </c>
      <c r="SYW93" s="456" t="s">
        <v>116</v>
      </c>
      <c r="SYX93" s="456" t="s">
        <v>116</v>
      </c>
      <c r="SYY93" s="456" t="s">
        <v>116</v>
      </c>
      <c r="SYZ93" s="456" t="s">
        <v>116</v>
      </c>
      <c r="SZA93" s="456" t="s">
        <v>116</v>
      </c>
      <c r="SZB93" s="456" t="s">
        <v>116</v>
      </c>
      <c r="SZC93" s="456" t="s">
        <v>116</v>
      </c>
      <c r="SZD93" s="456" t="s">
        <v>116</v>
      </c>
      <c r="SZE93" s="456" t="s">
        <v>116</v>
      </c>
      <c r="SZF93" s="456" t="s">
        <v>116</v>
      </c>
      <c r="SZG93" s="456" t="s">
        <v>116</v>
      </c>
      <c r="SZH93" s="456" t="s">
        <v>116</v>
      </c>
      <c r="SZI93" s="456" t="s">
        <v>116</v>
      </c>
      <c r="SZJ93" s="456" t="s">
        <v>116</v>
      </c>
      <c r="SZK93" s="456" t="s">
        <v>116</v>
      </c>
      <c r="SZL93" s="456" t="s">
        <v>116</v>
      </c>
      <c r="SZM93" s="456" t="s">
        <v>116</v>
      </c>
      <c r="SZN93" s="456" t="s">
        <v>116</v>
      </c>
      <c r="SZO93" s="456" t="s">
        <v>116</v>
      </c>
      <c r="SZP93" s="456" t="s">
        <v>116</v>
      </c>
      <c r="SZQ93" s="456" t="s">
        <v>116</v>
      </c>
      <c r="SZR93" s="456" t="s">
        <v>116</v>
      </c>
      <c r="SZS93" s="456" t="s">
        <v>116</v>
      </c>
      <c r="SZT93" s="456" t="s">
        <v>116</v>
      </c>
      <c r="SZU93" s="456" t="s">
        <v>116</v>
      </c>
      <c r="SZV93" s="456" t="s">
        <v>116</v>
      </c>
      <c r="SZW93" s="456" t="s">
        <v>116</v>
      </c>
      <c r="SZX93" s="456" t="s">
        <v>116</v>
      </c>
      <c r="SZY93" s="456" t="s">
        <v>116</v>
      </c>
      <c r="SZZ93" s="456" t="s">
        <v>116</v>
      </c>
      <c r="TAA93" s="456" t="s">
        <v>116</v>
      </c>
      <c r="TAB93" s="456" t="s">
        <v>116</v>
      </c>
      <c r="TAC93" s="456" t="s">
        <v>116</v>
      </c>
      <c r="TAD93" s="456" t="s">
        <v>116</v>
      </c>
      <c r="TAE93" s="456" t="s">
        <v>116</v>
      </c>
      <c r="TAF93" s="456" t="s">
        <v>116</v>
      </c>
      <c r="TAG93" s="456" t="s">
        <v>116</v>
      </c>
      <c r="TAH93" s="456" t="s">
        <v>116</v>
      </c>
      <c r="TAI93" s="456" t="s">
        <v>116</v>
      </c>
      <c r="TAJ93" s="456" t="s">
        <v>116</v>
      </c>
      <c r="TAK93" s="456" t="s">
        <v>116</v>
      </c>
      <c r="TAL93" s="456" t="s">
        <v>116</v>
      </c>
      <c r="TAM93" s="456" t="s">
        <v>116</v>
      </c>
      <c r="TAN93" s="456" t="s">
        <v>116</v>
      </c>
      <c r="TAO93" s="456" t="s">
        <v>116</v>
      </c>
      <c r="TAP93" s="456" t="s">
        <v>116</v>
      </c>
      <c r="TAQ93" s="456" t="s">
        <v>116</v>
      </c>
      <c r="TAR93" s="456" t="s">
        <v>116</v>
      </c>
      <c r="TAS93" s="456" t="s">
        <v>116</v>
      </c>
      <c r="TAT93" s="456" t="s">
        <v>116</v>
      </c>
      <c r="TAU93" s="456" t="s">
        <v>116</v>
      </c>
      <c r="TAV93" s="456" t="s">
        <v>116</v>
      </c>
      <c r="TAW93" s="456" t="s">
        <v>116</v>
      </c>
      <c r="TAX93" s="456" t="s">
        <v>116</v>
      </c>
      <c r="TAY93" s="456" t="s">
        <v>116</v>
      </c>
      <c r="TAZ93" s="456" t="s">
        <v>116</v>
      </c>
      <c r="TBA93" s="456" t="s">
        <v>116</v>
      </c>
      <c r="TBB93" s="456" t="s">
        <v>116</v>
      </c>
      <c r="TBC93" s="456" t="s">
        <v>116</v>
      </c>
      <c r="TBD93" s="456" t="s">
        <v>116</v>
      </c>
      <c r="TBE93" s="456" t="s">
        <v>116</v>
      </c>
      <c r="TBF93" s="456" t="s">
        <v>116</v>
      </c>
      <c r="TBG93" s="456" t="s">
        <v>116</v>
      </c>
      <c r="TBH93" s="456" t="s">
        <v>116</v>
      </c>
      <c r="TBI93" s="456" t="s">
        <v>116</v>
      </c>
      <c r="TBJ93" s="456" t="s">
        <v>116</v>
      </c>
      <c r="TBK93" s="456" t="s">
        <v>116</v>
      </c>
      <c r="TBL93" s="456" t="s">
        <v>116</v>
      </c>
      <c r="TBM93" s="456" t="s">
        <v>116</v>
      </c>
      <c r="TBN93" s="456" t="s">
        <v>116</v>
      </c>
      <c r="TBO93" s="456" t="s">
        <v>116</v>
      </c>
      <c r="TBP93" s="456" t="s">
        <v>116</v>
      </c>
      <c r="TBQ93" s="456" t="s">
        <v>116</v>
      </c>
      <c r="TBR93" s="456" t="s">
        <v>116</v>
      </c>
      <c r="TBS93" s="456" t="s">
        <v>116</v>
      </c>
      <c r="TBT93" s="456" t="s">
        <v>116</v>
      </c>
      <c r="TBU93" s="456" t="s">
        <v>116</v>
      </c>
      <c r="TBV93" s="456" t="s">
        <v>116</v>
      </c>
      <c r="TBW93" s="456" t="s">
        <v>116</v>
      </c>
      <c r="TBX93" s="456" t="s">
        <v>116</v>
      </c>
      <c r="TBY93" s="456" t="s">
        <v>116</v>
      </c>
      <c r="TBZ93" s="456" t="s">
        <v>116</v>
      </c>
      <c r="TCA93" s="456" t="s">
        <v>116</v>
      </c>
      <c r="TCB93" s="456" t="s">
        <v>116</v>
      </c>
      <c r="TCC93" s="456" t="s">
        <v>116</v>
      </c>
      <c r="TCD93" s="456" t="s">
        <v>116</v>
      </c>
      <c r="TCE93" s="456" t="s">
        <v>116</v>
      </c>
      <c r="TCF93" s="456" t="s">
        <v>116</v>
      </c>
      <c r="TCG93" s="456" t="s">
        <v>116</v>
      </c>
      <c r="TCH93" s="456" t="s">
        <v>116</v>
      </c>
      <c r="TCI93" s="456" t="s">
        <v>116</v>
      </c>
      <c r="TCJ93" s="456" t="s">
        <v>116</v>
      </c>
      <c r="TCK93" s="456" t="s">
        <v>116</v>
      </c>
      <c r="TCL93" s="456" t="s">
        <v>116</v>
      </c>
      <c r="TCM93" s="456" t="s">
        <v>116</v>
      </c>
      <c r="TCN93" s="456" t="s">
        <v>116</v>
      </c>
      <c r="TCO93" s="456" t="s">
        <v>116</v>
      </c>
      <c r="TCP93" s="456" t="s">
        <v>116</v>
      </c>
      <c r="TCQ93" s="456" t="s">
        <v>116</v>
      </c>
      <c r="TCR93" s="456" t="s">
        <v>116</v>
      </c>
      <c r="TCS93" s="456" t="s">
        <v>116</v>
      </c>
      <c r="TCT93" s="456" t="s">
        <v>116</v>
      </c>
      <c r="TCU93" s="456" t="s">
        <v>116</v>
      </c>
      <c r="TCV93" s="456" t="s">
        <v>116</v>
      </c>
      <c r="TCW93" s="456" t="s">
        <v>116</v>
      </c>
      <c r="TCX93" s="456" t="s">
        <v>116</v>
      </c>
      <c r="TCY93" s="456" t="s">
        <v>116</v>
      </c>
      <c r="TCZ93" s="456" t="s">
        <v>116</v>
      </c>
      <c r="TDA93" s="456" t="s">
        <v>116</v>
      </c>
      <c r="TDB93" s="456" t="s">
        <v>116</v>
      </c>
      <c r="TDC93" s="456" t="s">
        <v>116</v>
      </c>
      <c r="TDD93" s="456" t="s">
        <v>116</v>
      </c>
      <c r="TDE93" s="456" t="s">
        <v>116</v>
      </c>
      <c r="TDF93" s="456" t="s">
        <v>116</v>
      </c>
      <c r="TDG93" s="456" t="s">
        <v>116</v>
      </c>
      <c r="TDH93" s="456" t="s">
        <v>116</v>
      </c>
      <c r="TDI93" s="456" t="s">
        <v>116</v>
      </c>
      <c r="TDJ93" s="456" t="s">
        <v>116</v>
      </c>
      <c r="TDK93" s="456" t="s">
        <v>116</v>
      </c>
      <c r="TDL93" s="456" t="s">
        <v>116</v>
      </c>
      <c r="TDM93" s="456" t="s">
        <v>116</v>
      </c>
      <c r="TDN93" s="456" t="s">
        <v>116</v>
      </c>
      <c r="TDO93" s="456" t="s">
        <v>116</v>
      </c>
      <c r="TDP93" s="456" t="s">
        <v>116</v>
      </c>
      <c r="TDQ93" s="456" t="s">
        <v>116</v>
      </c>
      <c r="TDR93" s="456" t="s">
        <v>116</v>
      </c>
      <c r="TDS93" s="456" t="s">
        <v>116</v>
      </c>
      <c r="TDT93" s="456" t="s">
        <v>116</v>
      </c>
      <c r="TDU93" s="456" t="s">
        <v>116</v>
      </c>
      <c r="TDV93" s="456" t="s">
        <v>116</v>
      </c>
      <c r="TDW93" s="456" t="s">
        <v>116</v>
      </c>
      <c r="TDX93" s="456" t="s">
        <v>116</v>
      </c>
      <c r="TDY93" s="456" t="s">
        <v>116</v>
      </c>
      <c r="TDZ93" s="456" t="s">
        <v>116</v>
      </c>
      <c r="TEA93" s="456" t="s">
        <v>116</v>
      </c>
      <c r="TEB93" s="456" t="s">
        <v>116</v>
      </c>
      <c r="TEC93" s="456" t="s">
        <v>116</v>
      </c>
      <c r="TED93" s="456" t="s">
        <v>116</v>
      </c>
      <c r="TEE93" s="456" t="s">
        <v>116</v>
      </c>
      <c r="TEF93" s="456" t="s">
        <v>116</v>
      </c>
      <c r="TEG93" s="456" t="s">
        <v>116</v>
      </c>
      <c r="TEH93" s="456" t="s">
        <v>116</v>
      </c>
      <c r="TEI93" s="456" t="s">
        <v>116</v>
      </c>
      <c r="TEJ93" s="456" t="s">
        <v>116</v>
      </c>
      <c r="TEK93" s="456" t="s">
        <v>116</v>
      </c>
      <c r="TEL93" s="456" t="s">
        <v>116</v>
      </c>
      <c r="TEM93" s="456" t="s">
        <v>116</v>
      </c>
      <c r="TEN93" s="456" t="s">
        <v>116</v>
      </c>
      <c r="TEO93" s="456" t="s">
        <v>116</v>
      </c>
      <c r="TEP93" s="456" t="s">
        <v>116</v>
      </c>
      <c r="TEQ93" s="456" t="s">
        <v>116</v>
      </c>
      <c r="TER93" s="456" t="s">
        <v>116</v>
      </c>
      <c r="TES93" s="456" t="s">
        <v>116</v>
      </c>
      <c r="TET93" s="456" t="s">
        <v>116</v>
      </c>
      <c r="TEU93" s="456" t="s">
        <v>116</v>
      </c>
      <c r="TEV93" s="456" t="s">
        <v>116</v>
      </c>
      <c r="TEW93" s="456" t="s">
        <v>116</v>
      </c>
      <c r="TEX93" s="456" t="s">
        <v>116</v>
      </c>
      <c r="TEY93" s="456" t="s">
        <v>116</v>
      </c>
      <c r="TEZ93" s="456" t="s">
        <v>116</v>
      </c>
      <c r="TFA93" s="456" t="s">
        <v>116</v>
      </c>
      <c r="TFB93" s="456" t="s">
        <v>116</v>
      </c>
      <c r="TFC93" s="456" t="s">
        <v>116</v>
      </c>
      <c r="TFD93" s="456" t="s">
        <v>116</v>
      </c>
      <c r="TFE93" s="456" t="s">
        <v>116</v>
      </c>
      <c r="TFF93" s="456" t="s">
        <v>116</v>
      </c>
      <c r="TFG93" s="456" t="s">
        <v>116</v>
      </c>
      <c r="TFH93" s="456" t="s">
        <v>116</v>
      </c>
      <c r="TFI93" s="456" t="s">
        <v>116</v>
      </c>
      <c r="TFJ93" s="456" t="s">
        <v>116</v>
      </c>
      <c r="TFK93" s="456" t="s">
        <v>116</v>
      </c>
      <c r="TFL93" s="456" t="s">
        <v>116</v>
      </c>
      <c r="TFM93" s="456" t="s">
        <v>116</v>
      </c>
      <c r="TFN93" s="456" t="s">
        <v>116</v>
      </c>
      <c r="TFO93" s="456" t="s">
        <v>116</v>
      </c>
      <c r="TFP93" s="456" t="s">
        <v>116</v>
      </c>
      <c r="TFQ93" s="456" t="s">
        <v>116</v>
      </c>
      <c r="TFR93" s="456" t="s">
        <v>116</v>
      </c>
      <c r="TFS93" s="456" t="s">
        <v>116</v>
      </c>
      <c r="TFT93" s="456" t="s">
        <v>116</v>
      </c>
      <c r="TFU93" s="456" t="s">
        <v>116</v>
      </c>
      <c r="TFV93" s="456" t="s">
        <v>116</v>
      </c>
      <c r="TFW93" s="456" t="s">
        <v>116</v>
      </c>
      <c r="TFX93" s="456" t="s">
        <v>116</v>
      </c>
      <c r="TFY93" s="456" t="s">
        <v>116</v>
      </c>
      <c r="TFZ93" s="456" t="s">
        <v>116</v>
      </c>
      <c r="TGA93" s="456" t="s">
        <v>116</v>
      </c>
      <c r="TGB93" s="456" t="s">
        <v>116</v>
      </c>
      <c r="TGC93" s="456" t="s">
        <v>116</v>
      </c>
      <c r="TGD93" s="456" t="s">
        <v>116</v>
      </c>
      <c r="TGE93" s="456" t="s">
        <v>116</v>
      </c>
      <c r="TGF93" s="456" t="s">
        <v>116</v>
      </c>
      <c r="TGG93" s="456" t="s">
        <v>116</v>
      </c>
      <c r="TGH93" s="456" t="s">
        <v>116</v>
      </c>
      <c r="TGI93" s="456" t="s">
        <v>116</v>
      </c>
      <c r="TGJ93" s="456" t="s">
        <v>116</v>
      </c>
      <c r="TGK93" s="456" t="s">
        <v>116</v>
      </c>
      <c r="TGL93" s="456" t="s">
        <v>116</v>
      </c>
      <c r="TGM93" s="456" t="s">
        <v>116</v>
      </c>
      <c r="TGN93" s="456" t="s">
        <v>116</v>
      </c>
      <c r="TGO93" s="456" t="s">
        <v>116</v>
      </c>
      <c r="TGP93" s="456" t="s">
        <v>116</v>
      </c>
      <c r="TGQ93" s="456" t="s">
        <v>116</v>
      </c>
      <c r="TGR93" s="456" t="s">
        <v>116</v>
      </c>
      <c r="TGS93" s="456" t="s">
        <v>116</v>
      </c>
      <c r="TGT93" s="456" t="s">
        <v>116</v>
      </c>
      <c r="TGU93" s="456" t="s">
        <v>116</v>
      </c>
      <c r="TGV93" s="456" t="s">
        <v>116</v>
      </c>
      <c r="TGW93" s="456" t="s">
        <v>116</v>
      </c>
      <c r="TGX93" s="456" t="s">
        <v>116</v>
      </c>
      <c r="TGY93" s="456" t="s">
        <v>116</v>
      </c>
      <c r="TGZ93" s="456" t="s">
        <v>116</v>
      </c>
      <c r="THA93" s="456" t="s">
        <v>116</v>
      </c>
      <c r="THB93" s="456" t="s">
        <v>116</v>
      </c>
      <c r="THC93" s="456" t="s">
        <v>116</v>
      </c>
      <c r="THD93" s="456" t="s">
        <v>116</v>
      </c>
      <c r="THE93" s="456" t="s">
        <v>116</v>
      </c>
      <c r="THF93" s="456" t="s">
        <v>116</v>
      </c>
      <c r="THG93" s="456" t="s">
        <v>116</v>
      </c>
      <c r="THH93" s="456" t="s">
        <v>116</v>
      </c>
      <c r="THI93" s="456" t="s">
        <v>116</v>
      </c>
      <c r="THJ93" s="456" t="s">
        <v>116</v>
      </c>
      <c r="THK93" s="456" t="s">
        <v>116</v>
      </c>
      <c r="THL93" s="456" t="s">
        <v>116</v>
      </c>
      <c r="THM93" s="456" t="s">
        <v>116</v>
      </c>
      <c r="THN93" s="456" t="s">
        <v>116</v>
      </c>
      <c r="THO93" s="456" t="s">
        <v>116</v>
      </c>
      <c r="THP93" s="456" t="s">
        <v>116</v>
      </c>
      <c r="THQ93" s="456" t="s">
        <v>116</v>
      </c>
      <c r="THR93" s="456" t="s">
        <v>116</v>
      </c>
      <c r="THS93" s="456" t="s">
        <v>116</v>
      </c>
      <c r="THT93" s="456" t="s">
        <v>116</v>
      </c>
      <c r="THU93" s="456" t="s">
        <v>116</v>
      </c>
      <c r="THV93" s="456" t="s">
        <v>116</v>
      </c>
      <c r="THW93" s="456" t="s">
        <v>116</v>
      </c>
      <c r="THX93" s="456" t="s">
        <v>116</v>
      </c>
      <c r="THY93" s="456" t="s">
        <v>116</v>
      </c>
      <c r="THZ93" s="456" t="s">
        <v>116</v>
      </c>
      <c r="TIA93" s="456" t="s">
        <v>116</v>
      </c>
      <c r="TIB93" s="456" t="s">
        <v>116</v>
      </c>
      <c r="TIC93" s="456" t="s">
        <v>116</v>
      </c>
      <c r="TID93" s="456" t="s">
        <v>116</v>
      </c>
      <c r="TIE93" s="456" t="s">
        <v>116</v>
      </c>
      <c r="TIF93" s="456" t="s">
        <v>116</v>
      </c>
      <c r="TIG93" s="456" t="s">
        <v>116</v>
      </c>
      <c r="TIH93" s="456" t="s">
        <v>116</v>
      </c>
      <c r="TII93" s="456" t="s">
        <v>116</v>
      </c>
      <c r="TIJ93" s="456" t="s">
        <v>116</v>
      </c>
      <c r="TIK93" s="456" t="s">
        <v>116</v>
      </c>
      <c r="TIL93" s="456" t="s">
        <v>116</v>
      </c>
      <c r="TIM93" s="456" t="s">
        <v>116</v>
      </c>
      <c r="TIN93" s="456" t="s">
        <v>116</v>
      </c>
      <c r="TIO93" s="456" t="s">
        <v>116</v>
      </c>
      <c r="TIP93" s="456" t="s">
        <v>116</v>
      </c>
      <c r="TIQ93" s="456" t="s">
        <v>116</v>
      </c>
      <c r="TIR93" s="456" t="s">
        <v>116</v>
      </c>
      <c r="TIS93" s="456" t="s">
        <v>116</v>
      </c>
      <c r="TIT93" s="456" t="s">
        <v>116</v>
      </c>
      <c r="TIU93" s="456" t="s">
        <v>116</v>
      </c>
      <c r="TIV93" s="456" t="s">
        <v>116</v>
      </c>
      <c r="TIW93" s="456" t="s">
        <v>116</v>
      </c>
      <c r="TIX93" s="456" t="s">
        <v>116</v>
      </c>
      <c r="TIY93" s="456" t="s">
        <v>116</v>
      </c>
      <c r="TIZ93" s="456" t="s">
        <v>116</v>
      </c>
      <c r="TJA93" s="456" t="s">
        <v>116</v>
      </c>
      <c r="TJB93" s="456" t="s">
        <v>116</v>
      </c>
      <c r="TJC93" s="456" t="s">
        <v>116</v>
      </c>
      <c r="TJD93" s="456" t="s">
        <v>116</v>
      </c>
      <c r="TJE93" s="456" t="s">
        <v>116</v>
      </c>
      <c r="TJF93" s="456" t="s">
        <v>116</v>
      </c>
      <c r="TJG93" s="456" t="s">
        <v>116</v>
      </c>
      <c r="TJH93" s="456" t="s">
        <v>116</v>
      </c>
      <c r="TJI93" s="456" t="s">
        <v>116</v>
      </c>
      <c r="TJJ93" s="456" t="s">
        <v>116</v>
      </c>
      <c r="TJK93" s="456" t="s">
        <v>116</v>
      </c>
      <c r="TJL93" s="456" t="s">
        <v>116</v>
      </c>
      <c r="TJM93" s="456" t="s">
        <v>116</v>
      </c>
      <c r="TJN93" s="456" t="s">
        <v>116</v>
      </c>
      <c r="TJO93" s="456" t="s">
        <v>116</v>
      </c>
      <c r="TJP93" s="456" t="s">
        <v>116</v>
      </c>
      <c r="TJQ93" s="456" t="s">
        <v>116</v>
      </c>
      <c r="TJR93" s="456" t="s">
        <v>116</v>
      </c>
      <c r="TJS93" s="456" t="s">
        <v>116</v>
      </c>
      <c r="TJT93" s="456" t="s">
        <v>116</v>
      </c>
      <c r="TJU93" s="456" t="s">
        <v>116</v>
      </c>
      <c r="TJV93" s="456" t="s">
        <v>116</v>
      </c>
      <c r="TJW93" s="456" t="s">
        <v>116</v>
      </c>
      <c r="TJX93" s="456" t="s">
        <v>116</v>
      </c>
      <c r="TJY93" s="456" t="s">
        <v>116</v>
      </c>
      <c r="TJZ93" s="456" t="s">
        <v>116</v>
      </c>
      <c r="TKA93" s="456" t="s">
        <v>116</v>
      </c>
      <c r="TKB93" s="456" t="s">
        <v>116</v>
      </c>
      <c r="TKC93" s="456" t="s">
        <v>116</v>
      </c>
      <c r="TKD93" s="456" t="s">
        <v>116</v>
      </c>
      <c r="TKE93" s="456" t="s">
        <v>116</v>
      </c>
      <c r="TKF93" s="456" t="s">
        <v>116</v>
      </c>
      <c r="TKG93" s="456" t="s">
        <v>116</v>
      </c>
      <c r="TKH93" s="456" t="s">
        <v>116</v>
      </c>
      <c r="TKI93" s="456" t="s">
        <v>116</v>
      </c>
      <c r="TKJ93" s="456" t="s">
        <v>116</v>
      </c>
      <c r="TKK93" s="456" t="s">
        <v>116</v>
      </c>
      <c r="TKL93" s="456" t="s">
        <v>116</v>
      </c>
      <c r="TKM93" s="456" t="s">
        <v>116</v>
      </c>
      <c r="TKN93" s="456" t="s">
        <v>116</v>
      </c>
      <c r="TKO93" s="456" t="s">
        <v>116</v>
      </c>
      <c r="TKP93" s="456" t="s">
        <v>116</v>
      </c>
      <c r="TKQ93" s="456" t="s">
        <v>116</v>
      </c>
      <c r="TKR93" s="456" t="s">
        <v>116</v>
      </c>
      <c r="TKS93" s="456" t="s">
        <v>116</v>
      </c>
      <c r="TKT93" s="456" t="s">
        <v>116</v>
      </c>
      <c r="TKU93" s="456" t="s">
        <v>116</v>
      </c>
      <c r="TKV93" s="456" t="s">
        <v>116</v>
      </c>
      <c r="TKW93" s="456" t="s">
        <v>116</v>
      </c>
      <c r="TKX93" s="456" t="s">
        <v>116</v>
      </c>
      <c r="TKY93" s="456" t="s">
        <v>116</v>
      </c>
      <c r="TKZ93" s="456" t="s">
        <v>116</v>
      </c>
      <c r="TLA93" s="456" t="s">
        <v>116</v>
      </c>
      <c r="TLB93" s="456" t="s">
        <v>116</v>
      </c>
      <c r="TLC93" s="456" t="s">
        <v>116</v>
      </c>
      <c r="TLD93" s="456" t="s">
        <v>116</v>
      </c>
      <c r="TLE93" s="456" t="s">
        <v>116</v>
      </c>
      <c r="TLF93" s="456" t="s">
        <v>116</v>
      </c>
      <c r="TLG93" s="456" t="s">
        <v>116</v>
      </c>
      <c r="TLH93" s="456" t="s">
        <v>116</v>
      </c>
      <c r="TLI93" s="456" t="s">
        <v>116</v>
      </c>
      <c r="TLJ93" s="456" t="s">
        <v>116</v>
      </c>
      <c r="TLK93" s="456" t="s">
        <v>116</v>
      </c>
      <c r="TLL93" s="456" t="s">
        <v>116</v>
      </c>
      <c r="TLM93" s="456" t="s">
        <v>116</v>
      </c>
      <c r="TLN93" s="456" t="s">
        <v>116</v>
      </c>
      <c r="TLO93" s="456" t="s">
        <v>116</v>
      </c>
      <c r="TLP93" s="456" t="s">
        <v>116</v>
      </c>
      <c r="TLQ93" s="456" t="s">
        <v>116</v>
      </c>
      <c r="TLR93" s="456" t="s">
        <v>116</v>
      </c>
      <c r="TLS93" s="456" t="s">
        <v>116</v>
      </c>
      <c r="TLT93" s="456" t="s">
        <v>116</v>
      </c>
      <c r="TLU93" s="456" t="s">
        <v>116</v>
      </c>
      <c r="TLV93" s="456" t="s">
        <v>116</v>
      </c>
      <c r="TLW93" s="456" t="s">
        <v>116</v>
      </c>
      <c r="TLX93" s="456" t="s">
        <v>116</v>
      </c>
      <c r="TLY93" s="456" t="s">
        <v>116</v>
      </c>
      <c r="TLZ93" s="456" t="s">
        <v>116</v>
      </c>
      <c r="TMA93" s="456" t="s">
        <v>116</v>
      </c>
      <c r="TMB93" s="456" t="s">
        <v>116</v>
      </c>
      <c r="TMC93" s="456" t="s">
        <v>116</v>
      </c>
      <c r="TMD93" s="456" t="s">
        <v>116</v>
      </c>
      <c r="TME93" s="456" t="s">
        <v>116</v>
      </c>
      <c r="TMF93" s="456" t="s">
        <v>116</v>
      </c>
      <c r="TMG93" s="456" t="s">
        <v>116</v>
      </c>
      <c r="TMH93" s="456" t="s">
        <v>116</v>
      </c>
      <c r="TMI93" s="456" t="s">
        <v>116</v>
      </c>
      <c r="TMJ93" s="456" t="s">
        <v>116</v>
      </c>
      <c r="TMK93" s="456" t="s">
        <v>116</v>
      </c>
      <c r="TML93" s="456" t="s">
        <v>116</v>
      </c>
      <c r="TMM93" s="456" t="s">
        <v>116</v>
      </c>
      <c r="TMN93" s="456" t="s">
        <v>116</v>
      </c>
      <c r="TMO93" s="456" t="s">
        <v>116</v>
      </c>
      <c r="TMP93" s="456" t="s">
        <v>116</v>
      </c>
      <c r="TMQ93" s="456" t="s">
        <v>116</v>
      </c>
      <c r="TMR93" s="456" t="s">
        <v>116</v>
      </c>
      <c r="TMS93" s="456" t="s">
        <v>116</v>
      </c>
      <c r="TMT93" s="456" t="s">
        <v>116</v>
      </c>
      <c r="TMU93" s="456" t="s">
        <v>116</v>
      </c>
      <c r="TMV93" s="456" t="s">
        <v>116</v>
      </c>
      <c r="TMW93" s="456" t="s">
        <v>116</v>
      </c>
      <c r="TMX93" s="456" t="s">
        <v>116</v>
      </c>
      <c r="TMY93" s="456" t="s">
        <v>116</v>
      </c>
      <c r="TMZ93" s="456" t="s">
        <v>116</v>
      </c>
      <c r="TNA93" s="456" t="s">
        <v>116</v>
      </c>
      <c r="TNB93" s="456" t="s">
        <v>116</v>
      </c>
      <c r="TNC93" s="456" t="s">
        <v>116</v>
      </c>
      <c r="TND93" s="456" t="s">
        <v>116</v>
      </c>
      <c r="TNE93" s="456" t="s">
        <v>116</v>
      </c>
      <c r="TNF93" s="456" t="s">
        <v>116</v>
      </c>
      <c r="TNG93" s="456" t="s">
        <v>116</v>
      </c>
      <c r="TNH93" s="456" t="s">
        <v>116</v>
      </c>
      <c r="TNI93" s="456" t="s">
        <v>116</v>
      </c>
      <c r="TNJ93" s="456" t="s">
        <v>116</v>
      </c>
      <c r="TNK93" s="456" t="s">
        <v>116</v>
      </c>
      <c r="TNL93" s="456" t="s">
        <v>116</v>
      </c>
      <c r="TNM93" s="456" t="s">
        <v>116</v>
      </c>
      <c r="TNN93" s="456" t="s">
        <v>116</v>
      </c>
      <c r="TNO93" s="456" t="s">
        <v>116</v>
      </c>
      <c r="TNP93" s="456" t="s">
        <v>116</v>
      </c>
      <c r="TNQ93" s="456" t="s">
        <v>116</v>
      </c>
      <c r="TNR93" s="456" t="s">
        <v>116</v>
      </c>
      <c r="TNS93" s="456" t="s">
        <v>116</v>
      </c>
      <c r="TNT93" s="456" t="s">
        <v>116</v>
      </c>
      <c r="TNU93" s="456" t="s">
        <v>116</v>
      </c>
      <c r="TNV93" s="456" t="s">
        <v>116</v>
      </c>
      <c r="TNW93" s="456" t="s">
        <v>116</v>
      </c>
      <c r="TNX93" s="456" t="s">
        <v>116</v>
      </c>
      <c r="TNY93" s="456" t="s">
        <v>116</v>
      </c>
      <c r="TNZ93" s="456" t="s">
        <v>116</v>
      </c>
      <c r="TOA93" s="456" t="s">
        <v>116</v>
      </c>
      <c r="TOB93" s="456" t="s">
        <v>116</v>
      </c>
      <c r="TOC93" s="456" t="s">
        <v>116</v>
      </c>
      <c r="TOD93" s="456" t="s">
        <v>116</v>
      </c>
      <c r="TOE93" s="456" t="s">
        <v>116</v>
      </c>
      <c r="TOF93" s="456" t="s">
        <v>116</v>
      </c>
      <c r="TOG93" s="456" t="s">
        <v>116</v>
      </c>
      <c r="TOH93" s="456" t="s">
        <v>116</v>
      </c>
      <c r="TOI93" s="456" t="s">
        <v>116</v>
      </c>
      <c r="TOJ93" s="456" t="s">
        <v>116</v>
      </c>
      <c r="TOK93" s="456" t="s">
        <v>116</v>
      </c>
      <c r="TOL93" s="456" t="s">
        <v>116</v>
      </c>
      <c r="TOM93" s="456" t="s">
        <v>116</v>
      </c>
      <c r="TON93" s="456" t="s">
        <v>116</v>
      </c>
      <c r="TOO93" s="456" t="s">
        <v>116</v>
      </c>
      <c r="TOP93" s="456" t="s">
        <v>116</v>
      </c>
      <c r="TOQ93" s="456" t="s">
        <v>116</v>
      </c>
      <c r="TOR93" s="456" t="s">
        <v>116</v>
      </c>
      <c r="TOS93" s="456" t="s">
        <v>116</v>
      </c>
      <c r="TOT93" s="456" t="s">
        <v>116</v>
      </c>
      <c r="TOU93" s="456" t="s">
        <v>116</v>
      </c>
      <c r="TOV93" s="456" t="s">
        <v>116</v>
      </c>
      <c r="TOW93" s="456" t="s">
        <v>116</v>
      </c>
      <c r="TOX93" s="456" t="s">
        <v>116</v>
      </c>
      <c r="TOY93" s="456" t="s">
        <v>116</v>
      </c>
      <c r="TOZ93" s="456" t="s">
        <v>116</v>
      </c>
      <c r="TPA93" s="456" t="s">
        <v>116</v>
      </c>
      <c r="TPB93" s="456" t="s">
        <v>116</v>
      </c>
      <c r="TPC93" s="456" t="s">
        <v>116</v>
      </c>
      <c r="TPD93" s="456" t="s">
        <v>116</v>
      </c>
      <c r="TPE93" s="456" t="s">
        <v>116</v>
      </c>
      <c r="TPF93" s="456" t="s">
        <v>116</v>
      </c>
      <c r="TPG93" s="456" t="s">
        <v>116</v>
      </c>
      <c r="TPH93" s="456" t="s">
        <v>116</v>
      </c>
      <c r="TPI93" s="456" t="s">
        <v>116</v>
      </c>
      <c r="TPJ93" s="456" t="s">
        <v>116</v>
      </c>
      <c r="TPK93" s="456" t="s">
        <v>116</v>
      </c>
      <c r="TPL93" s="456" t="s">
        <v>116</v>
      </c>
      <c r="TPM93" s="456" t="s">
        <v>116</v>
      </c>
      <c r="TPN93" s="456" t="s">
        <v>116</v>
      </c>
      <c r="TPO93" s="456" t="s">
        <v>116</v>
      </c>
      <c r="TPP93" s="456" t="s">
        <v>116</v>
      </c>
      <c r="TPQ93" s="456" t="s">
        <v>116</v>
      </c>
      <c r="TPR93" s="456" t="s">
        <v>116</v>
      </c>
      <c r="TPS93" s="456" t="s">
        <v>116</v>
      </c>
      <c r="TPT93" s="456" t="s">
        <v>116</v>
      </c>
      <c r="TPU93" s="456" t="s">
        <v>116</v>
      </c>
      <c r="TPV93" s="456" t="s">
        <v>116</v>
      </c>
      <c r="TPW93" s="456" t="s">
        <v>116</v>
      </c>
      <c r="TPX93" s="456" t="s">
        <v>116</v>
      </c>
      <c r="TPY93" s="456" t="s">
        <v>116</v>
      </c>
      <c r="TPZ93" s="456" t="s">
        <v>116</v>
      </c>
      <c r="TQA93" s="456" t="s">
        <v>116</v>
      </c>
      <c r="TQB93" s="456" t="s">
        <v>116</v>
      </c>
      <c r="TQC93" s="456" t="s">
        <v>116</v>
      </c>
      <c r="TQD93" s="456" t="s">
        <v>116</v>
      </c>
      <c r="TQE93" s="456" t="s">
        <v>116</v>
      </c>
      <c r="TQF93" s="456" t="s">
        <v>116</v>
      </c>
      <c r="TQG93" s="456" t="s">
        <v>116</v>
      </c>
      <c r="TQH93" s="456" t="s">
        <v>116</v>
      </c>
      <c r="TQI93" s="456" t="s">
        <v>116</v>
      </c>
      <c r="TQJ93" s="456" t="s">
        <v>116</v>
      </c>
      <c r="TQK93" s="456" t="s">
        <v>116</v>
      </c>
      <c r="TQL93" s="456" t="s">
        <v>116</v>
      </c>
      <c r="TQM93" s="456" t="s">
        <v>116</v>
      </c>
      <c r="TQN93" s="456" t="s">
        <v>116</v>
      </c>
      <c r="TQO93" s="456" t="s">
        <v>116</v>
      </c>
      <c r="TQP93" s="456" t="s">
        <v>116</v>
      </c>
      <c r="TQQ93" s="456" t="s">
        <v>116</v>
      </c>
      <c r="TQR93" s="456" t="s">
        <v>116</v>
      </c>
      <c r="TQS93" s="456" t="s">
        <v>116</v>
      </c>
      <c r="TQT93" s="456" t="s">
        <v>116</v>
      </c>
      <c r="TQU93" s="456" t="s">
        <v>116</v>
      </c>
      <c r="TQV93" s="456" t="s">
        <v>116</v>
      </c>
      <c r="TQW93" s="456" t="s">
        <v>116</v>
      </c>
      <c r="TQX93" s="456" t="s">
        <v>116</v>
      </c>
      <c r="TQY93" s="456" t="s">
        <v>116</v>
      </c>
      <c r="TQZ93" s="456" t="s">
        <v>116</v>
      </c>
      <c r="TRA93" s="456" t="s">
        <v>116</v>
      </c>
      <c r="TRB93" s="456" t="s">
        <v>116</v>
      </c>
      <c r="TRC93" s="456" t="s">
        <v>116</v>
      </c>
      <c r="TRD93" s="456" t="s">
        <v>116</v>
      </c>
      <c r="TRE93" s="456" t="s">
        <v>116</v>
      </c>
      <c r="TRF93" s="456" t="s">
        <v>116</v>
      </c>
      <c r="TRG93" s="456" t="s">
        <v>116</v>
      </c>
      <c r="TRH93" s="456" t="s">
        <v>116</v>
      </c>
      <c r="TRI93" s="456" t="s">
        <v>116</v>
      </c>
      <c r="TRJ93" s="456" t="s">
        <v>116</v>
      </c>
      <c r="TRK93" s="456" t="s">
        <v>116</v>
      </c>
      <c r="TRL93" s="456" t="s">
        <v>116</v>
      </c>
      <c r="TRM93" s="456" t="s">
        <v>116</v>
      </c>
      <c r="TRN93" s="456" t="s">
        <v>116</v>
      </c>
      <c r="TRO93" s="456" t="s">
        <v>116</v>
      </c>
      <c r="TRP93" s="456" t="s">
        <v>116</v>
      </c>
      <c r="TRQ93" s="456" t="s">
        <v>116</v>
      </c>
      <c r="TRR93" s="456" t="s">
        <v>116</v>
      </c>
      <c r="TRS93" s="456" t="s">
        <v>116</v>
      </c>
      <c r="TRT93" s="456" t="s">
        <v>116</v>
      </c>
      <c r="TRU93" s="456" t="s">
        <v>116</v>
      </c>
      <c r="TRV93" s="456" t="s">
        <v>116</v>
      </c>
      <c r="TRW93" s="456" t="s">
        <v>116</v>
      </c>
      <c r="TRX93" s="456" t="s">
        <v>116</v>
      </c>
      <c r="TRY93" s="456" t="s">
        <v>116</v>
      </c>
      <c r="TRZ93" s="456" t="s">
        <v>116</v>
      </c>
      <c r="TSA93" s="456" t="s">
        <v>116</v>
      </c>
      <c r="TSB93" s="456" t="s">
        <v>116</v>
      </c>
      <c r="TSC93" s="456" t="s">
        <v>116</v>
      </c>
      <c r="TSD93" s="456" t="s">
        <v>116</v>
      </c>
      <c r="TSE93" s="456" t="s">
        <v>116</v>
      </c>
      <c r="TSF93" s="456" t="s">
        <v>116</v>
      </c>
      <c r="TSG93" s="456" t="s">
        <v>116</v>
      </c>
      <c r="TSH93" s="456" t="s">
        <v>116</v>
      </c>
      <c r="TSI93" s="456" t="s">
        <v>116</v>
      </c>
      <c r="TSJ93" s="456" t="s">
        <v>116</v>
      </c>
      <c r="TSK93" s="456" t="s">
        <v>116</v>
      </c>
      <c r="TSL93" s="456" t="s">
        <v>116</v>
      </c>
      <c r="TSM93" s="456" t="s">
        <v>116</v>
      </c>
      <c r="TSN93" s="456" t="s">
        <v>116</v>
      </c>
      <c r="TSO93" s="456" t="s">
        <v>116</v>
      </c>
      <c r="TSP93" s="456" t="s">
        <v>116</v>
      </c>
      <c r="TSQ93" s="456" t="s">
        <v>116</v>
      </c>
      <c r="TSR93" s="456" t="s">
        <v>116</v>
      </c>
      <c r="TSS93" s="456" t="s">
        <v>116</v>
      </c>
      <c r="TST93" s="456" t="s">
        <v>116</v>
      </c>
      <c r="TSU93" s="456" t="s">
        <v>116</v>
      </c>
      <c r="TSV93" s="456" t="s">
        <v>116</v>
      </c>
      <c r="TSW93" s="456" t="s">
        <v>116</v>
      </c>
      <c r="TSX93" s="456" t="s">
        <v>116</v>
      </c>
      <c r="TSY93" s="456" t="s">
        <v>116</v>
      </c>
      <c r="TSZ93" s="456" t="s">
        <v>116</v>
      </c>
      <c r="TTA93" s="456" t="s">
        <v>116</v>
      </c>
      <c r="TTB93" s="456" t="s">
        <v>116</v>
      </c>
      <c r="TTC93" s="456" t="s">
        <v>116</v>
      </c>
      <c r="TTD93" s="456" t="s">
        <v>116</v>
      </c>
      <c r="TTE93" s="456" t="s">
        <v>116</v>
      </c>
      <c r="TTF93" s="456" t="s">
        <v>116</v>
      </c>
      <c r="TTG93" s="456" t="s">
        <v>116</v>
      </c>
      <c r="TTH93" s="456" t="s">
        <v>116</v>
      </c>
      <c r="TTI93" s="456" t="s">
        <v>116</v>
      </c>
      <c r="TTJ93" s="456" t="s">
        <v>116</v>
      </c>
      <c r="TTK93" s="456" t="s">
        <v>116</v>
      </c>
      <c r="TTL93" s="456" t="s">
        <v>116</v>
      </c>
      <c r="TTM93" s="456" t="s">
        <v>116</v>
      </c>
      <c r="TTN93" s="456" t="s">
        <v>116</v>
      </c>
      <c r="TTO93" s="456" t="s">
        <v>116</v>
      </c>
      <c r="TTP93" s="456" t="s">
        <v>116</v>
      </c>
      <c r="TTQ93" s="456" t="s">
        <v>116</v>
      </c>
      <c r="TTR93" s="456" t="s">
        <v>116</v>
      </c>
      <c r="TTS93" s="456" t="s">
        <v>116</v>
      </c>
      <c r="TTT93" s="456" t="s">
        <v>116</v>
      </c>
      <c r="TTU93" s="456" t="s">
        <v>116</v>
      </c>
      <c r="TTV93" s="456" t="s">
        <v>116</v>
      </c>
      <c r="TTW93" s="456" t="s">
        <v>116</v>
      </c>
      <c r="TTX93" s="456" t="s">
        <v>116</v>
      </c>
      <c r="TTY93" s="456" t="s">
        <v>116</v>
      </c>
      <c r="TTZ93" s="456" t="s">
        <v>116</v>
      </c>
      <c r="TUA93" s="456" t="s">
        <v>116</v>
      </c>
      <c r="TUB93" s="456" t="s">
        <v>116</v>
      </c>
      <c r="TUC93" s="456" t="s">
        <v>116</v>
      </c>
      <c r="TUD93" s="456" t="s">
        <v>116</v>
      </c>
      <c r="TUE93" s="456" t="s">
        <v>116</v>
      </c>
      <c r="TUF93" s="456" t="s">
        <v>116</v>
      </c>
      <c r="TUG93" s="456" t="s">
        <v>116</v>
      </c>
      <c r="TUH93" s="456" t="s">
        <v>116</v>
      </c>
      <c r="TUI93" s="456" t="s">
        <v>116</v>
      </c>
      <c r="TUJ93" s="456" t="s">
        <v>116</v>
      </c>
      <c r="TUK93" s="456" t="s">
        <v>116</v>
      </c>
      <c r="TUL93" s="456" t="s">
        <v>116</v>
      </c>
      <c r="TUM93" s="456" t="s">
        <v>116</v>
      </c>
      <c r="TUN93" s="456" t="s">
        <v>116</v>
      </c>
      <c r="TUO93" s="456" t="s">
        <v>116</v>
      </c>
      <c r="TUP93" s="456" t="s">
        <v>116</v>
      </c>
      <c r="TUQ93" s="456" t="s">
        <v>116</v>
      </c>
      <c r="TUR93" s="456" t="s">
        <v>116</v>
      </c>
      <c r="TUS93" s="456" t="s">
        <v>116</v>
      </c>
      <c r="TUT93" s="456" t="s">
        <v>116</v>
      </c>
      <c r="TUU93" s="456" t="s">
        <v>116</v>
      </c>
      <c r="TUV93" s="456" t="s">
        <v>116</v>
      </c>
      <c r="TUW93" s="456" t="s">
        <v>116</v>
      </c>
      <c r="TUX93" s="456" t="s">
        <v>116</v>
      </c>
      <c r="TUY93" s="456" t="s">
        <v>116</v>
      </c>
      <c r="TUZ93" s="456" t="s">
        <v>116</v>
      </c>
      <c r="TVA93" s="456" t="s">
        <v>116</v>
      </c>
      <c r="TVB93" s="456" t="s">
        <v>116</v>
      </c>
      <c r="TVC93" s="456" t="s">
        <v>116</v>
      </c>
      <c r="TVD93" s="456" t="s">
        <v>116</v>
      </c>
      <c r="TVE93" s="456" t="s">
        <v>116</v>
      </c>
      <c r="TVF93" s="456" t="s">
        <v>116</v>
      </c>
      <c r="TVG93" s="456" t="s">
        <v>116</v>
      </c>
      <c r="TVH93" s="456" t="s">
        <v>116</v>
      </c>
      <c r="TVI93" s="456" t="s">
        <v>116</v>
      </c>
      <c r="TVJ93" s="456" t="s">
        <v>116</v>
      </c>
      <c r="TVK93" s="456" t="s">
        <v>116</v>
      </c>
      <c r="TVL93" s="456" t="s">
        <v>116</v>
      </c>
      <c r="TVM93" s="456" t="s">
        <v>116</v>
      </c>
      <c r="TVN93" s="456" t="s">
        <v>116</v>
      </c>
      <c r="TVO93" s="456" t="s">
        <v>116</v>
      </c>
      <c r="TVP93" s="456" t="s">
        <v>116</v>
      </c>
      <c r="TVQ93" s="456" t="s">
        <v>116</v>
      </c>
      <c r="TVR93" s="456" t="s">
        <v>116</v>
      </c>
      <c r="TVS93" s="456" t="s">
        <v>116</v>
      </c>
      <c r="TVT93" s="456" t="s">
        <v>116</v>
      </c>
      <c r="TVU93" s="456" t="s">
        <v>116</v>
      </c>
      <c r="TVV93" s="456" t="s">
        <v>116</v>
      </c>
      <c r="TVW93" s="456" t="s">
        <v>116</v>
      </c>
      <c r="TVX93" s="456" t="s">
        <v>116</v>
      </c>
      <c r="TVY93" s="456" t="s">
        <v>116</v>
      </c>
      <c r="TVZ93" s="456" t="s">
        <v>116</v>
      </c>
      <c r="TWA93" s="456" t="s">
        <v>116</v>
      </c>
      <c r="TWB93" s="456" t="s">
        <v>116</v>
      </c>
      <c r="TWC93" s="456" t="s">
        <v>116</v>
      </c>
      <c r="TWD93" s="456" t="s">
        <v>116</v>
      </c>
      <c r="TWE93" s="456" t="s">
        <v>116</v>
      </c>
      <c r="TWF93" s="456" t="s">
        <v>116</v>
      </c>
      <c r="TWG93" s="456" t="s">
        <v>116</v>
      </c>
      <c r="TWH93" s="456" t="s">
        <v>116</v>
      </c>
      <c r="TWI93" s="456" t="s">
        <v>116</v>
      </c>
      <c r="TWJ93" s="456" t="s">
        <v>116</v>
      </c>
      <c r="TWK93" s="456" t="s">
        <v>116</v>
      </c>
      <c r="TWL93" s="456" t="s">
        <v>116</v>
      </c>
      <c r="TWM93" s="456" t="s">
        <v>116</v>
      </c>
      <c r="TWN93" s="456" t="s">
        <v>116</v>
      </c>
      <c r="TWO93" s="456" t="s">
        <v>116</v>
      </c>
      <c r="TWP93" s="456" t="s">
        <v>116</v>
      </c>
      <c r="TWQ93" s="456" t="s">
        <v>116</v>
      </c>
      <c r="TWR93" s="456" t="s">
        <v>116</v>
      </c>
      <c r="TWS93" s="456" t="s">
        <v>116</v>
      </c>
      <c r="TWT93" s="456" t="s">
        <v>116</v>
      </c>
      <c r="TWU93" s="456" t="s">
        <v>116</v>
      </c>
      <c r="TWV93" s="456" t="s">
        <v>116</v>
      </c>
      <c r="TWW93" s="456" t="s">
        <v>116</v>
      </c>
      <c r="TWX93" s="456" t="s">
        <v>116</v>
      </c>
      <c r="TWY93" s="456" t="s">
        <v>116</v>
      </c>
      <c r="TWZ93" s="456" t="s">
        <v>116</v>
      </c>
      <c r="TXA93" s="456" t="s">
        <v>116</v>
      </c>
      <c r="TXB93" s="456" t="s">
        <v>116</v>
      </c>
      <c r="TXC93" s="456" t="s">
        <v>116</v>
      </c>
      <c r="TXD93" s="456" t="s">
        <v>116</v>
      </c>
      <c r="TXE93" s="456" t="s">
        <v>116</v>
      </c>
      <c r="TXF93" s="456" t="s">
        <v>116</v>
      </c>
      <c r="TXG93" s="456" t="s">
        <v>116</v>
      </c>
      <c r="TXH93" s="456" t="s">
        <v>116</v>
      </c>
      <c r="TXI93" s="456" t="s">
        <v>116</v>
      </c>
      <c r="TXJ93" s="456" t="s">
        <v>116</v>
      </c>
      <c r="TXK93" s="456" t="s">
        <v>116</v>
      </c>
      <c r="TXL93" s="456" t="s">
        <v>116</v>
      </c>
      <c r="TXM93" s="456" t="s">
        <v>116</v>
      </c>
      <c r="TXN93" s="456" t="s">
        <v>116</v>
      </c>
      <c r="TXO93" s="456" t="s">
        <v>116</v>
      </c>
      <c r="TXP93" s="456" t="s">
        <v>116</v>
      </c>
      <c r="TXQ93" s="456" t="s">
        <v>116</v>
      </c>
      <c r="TXR93" s="456" t="s">
        <v>116</v>
      </c>
      <c r="TXS93" s="456" t="s">
        <v>116</v>
      </c>
      <c r="TXT93" s="456" t="s">
        <v>116</v>
      </c>
      <c r="TXU93" s="456" t="s">
        <v>116</v>
      </c>
      <c r="TXV93" s="456" t="s">
        <v>116</v>
      </c>
      <c r="TXW93" s="456" t="s">
        <v>116</v>
      </c>
      <c r="TXX93" s="456" t="s">
        <v>116</v>
      </c>
      <c r="TXY93" s="456" t="s">
        <v>116</v>
      </c>
      <c r="TXZ93" s="456" t="s">
        <v>116</v>
      </c>
      <c r="TYA93" s="456" t="s">
        <v>116</v>
      </c>
      <c r="TYB93" s="456" t="s">
        <v>116</v>
      </c>
      <c r="TYC93" s="456" t="s">
        <v>116</v>
      </c>
      <c r="TYD93" s="456" t="s">
        <v>116</v>
      </c>
      <c r="TYE93" s="456" t="s">
        <v>116</v>
      </c>
      <c r="TYF93" s="456" t="s">
        <v>116</v>
      </c>
      <c r="TYG93" s="456" t="s">
        <v>116</v>
      </c>
      <c r="TYH93" s="456" t="s">
        <v>116</v>
      </c>
      <c r="TYI93" s="456" t="s">
        <v>116</v>
      </c>
      <c r="TYJ93" s="456" t="s">
        <v>116</v>
      </c>
      <c r="TYK93" s="456" t="s">
        <v>116</v>
      </c>
      <c r="TYL93" s="456" t="s">
        <v>116</v>
      </c>
      <c r="TYM93" s="456" t="s">
        <v>116</v>
      </c>
      <c r="TYN93" s="456" t="s">
        <v>116</v>
      </c>
      <c r="TYO93" s="456" t="s">
        <v>116</v>
      </c>
      <c r="TYP93" s="456" t="s">
        <v>116</v>
      </c>
      <c r="TYQ93" s="456" t="s">
        <v>116</v>
      </c>
      <c r="TYR93" s="456" t="s">
        <v>116</v>
      </c>
      <c r="TYS93" s="456" t="s">
        <v>116</v>
      </c>
      <c r="TYT93" s="456" t="s">
        <v>116</v>
      </c>
      <c r="TYU93" s="456" t="s">
        <v>116</v>
      </c>
      <c r="TYV93" s="456" t="s">
        <v>116</v>
      </c>
      <c r="TYW93" s="456" t="s">
        <v>116</v>
      </c>
      <c r="TYX93" s="456" t="s">
        <v>116</v>
      </c>
      <c r="TYY93" s="456" t="s">
        <v>116</v>
      </c>
      <c r="TYZ93" s="456" t="s">
        <v>116</v>
      </c>
      <c r="TZA93" s="456" t="s">
        <v>116</v>
      </c>
      <c r="TZB93" s="456" t="s">
        <v>116</v>
      </c>
      <c r="TZC93" s="456" t="s">
        <v>116</v>
      </c>
      <c r="TZD93" s="456" t="s">
        <v>116</v>
      </c>
      <c r="TZE93" s="456" t="s">
        <v>116</v>
      </c>
      <c r="TZF93" s="456" t="s">
        <v>116</v>
      </c>
      <c r="TZG93" s="456" t="s">
        <v>116</v>
      </c>
      <c r="TZH93" s="456" t="s">
        <v>116</v>
      </c>
      <c r="TZI93" s="456" t="s">
        <v>116</v>
      </c>
      <c r="TZJ93" s="456" t="s">
        <v>116</v>
      </c>
      <c r="TZK93" s="456" t="s">
        <v>116</v>
      </c>
      <c r="TZL93" s="456" t="s">
        <v>116</v>
      </c>
      <c r="TZM93" s="456" t="s">
        <v>116</v>
      </c>
      <c r="TZN93" s="456" t="s">
        <v>116</v>
      </c>
      <c r="TZO93" s="456" t="s">
        <v>116</v>
      </c>
      <c r="TZP93" s="456" t="s">
        <v>116</v>
      </c>
      <c r="TZQ93" s="456" t="s">
        <v>116</v>
      </c>
      <c r="TZR93" s="456" t="s">
        <v>116</v>
      </c>
      <c r="TZS93" s="456" t="s">
        <v>116</v>
      </c>
      <c r="TZT93" s="456" t="s">
        <v>116</v>
      </c>
      <c r="TZU93" s="456" t="s">
        <v>116</v>
      </c>
      <c r="TZV93" s="456" t="s">
        <v>116</v>
      </c>
      <c r="TZW93" s="456" t="s">
        <v>116</v>
      </c>
      <c r="TZX93" s="456" t="s">
        <v>116</v>
      </c>
      <c r="TZY93" s="456" t="s">
        <v>116</v>
      </c>
      <c r="TZZ93" s="456" t="s">
        <v>116</v>
      </c>
      <c r="UAA93" s="456" t="s">
        <v>116</v>
      </c>
      <c r="UAB93" s="456" t="s">
        <v>116</v>
      </c>
      <c r="UAC93" s="456" t="s">
        <v>116</v>
      </c>
      <c r="UAD93" s="456" t="s">
        <v>116</v>
      </c>
      <c r="UAE93" s="456" t="s">
        <v>116</v>
      </c>
      <c r="UAF93" s="456" t="s">
        <v>116</v>
      </c>
      <c r="UAG93" s="456" t="s">
        <v>116</v>
      </c>
      <c r="UAH93" s="456" t="s">
        <v>116</v>
      </c>
      <c r="UAI93" s="456" t="s">
        <v>116</v>
      </c>
      <c r="UAJ93" s="456" t="s">
        <v>116</v>
      </c>
      <c r="UAK93" s="456" t="s">
        <v>116</v>
      </c>
      <c r="UAL93" s="456" t="s">
        <v>116</v>
      </c>
      <c r="UAM93" s="456" t="s">
        <v>116</v>
      </c>
      <c r="UAN93" s="456" t="s">
        <v>116</v>
      </c>
      <c r="UAO93" s="456" t="s">
        <v>116</v>
      </c>
      <c r="UAP93" s="456" t="s">
        <v>116</v>
      </c>
      <c r="UAQ93" s="456" t="s">
        <v>116</v>
      </c>
      <c r="UAR93" s="456" t="s">
        <v>116</v>
      </c>
      <c r="UAS93" s="456" t="s">
        <v>116</v>
      </c>
      <c r="UAT93" s="456" t="s">
        <v>116</v>
      </c>
      <c r="UAU93" s="456" t="s">
        <v>116</v>
      </c>
      <c r="UAV93" s="456" t="s">
        <v>116</v>
      </c>
      <c r="UAW93" s="456" t="s">
        <v>116</v>
      </c>
      <c r="UAX93" s="456" t="s">
        <v>116</v>
      </c>
      <c r="UAY93" s="456" t="s">
        <v>116</v>
      </c>
      <c r="UAZ93" s="456" t="s">
        <v>116</v>
      </c>
      <c r="UBA93" s="456" t="s">
        <v>116</v>
      </c>
      <c r="UBB93" s="456" t="s">
        <v>116</v>
      </c>
      <c r="UBC93" s="456" t="s">
        <v>116</v>
      </c>
      <c r="UBD93" s="456" t="s">
        <v>116</v>
      </c>
      <c r="UBE93" s="456" t="s">
        <v>116</v>
      </c>
      <c r="UBF93" s="456" t="s">
        <v>116</v>
      </c>
      <c r="UBG93" s="456" t="s">
        <v>116</v>
      </c>
      <c r="UBH93" s="456" t="s">
        <v>116</v>
      </c>
      <c r="UBI93" s="456" t="s">
        <v>116</v>
      </c>
      <c r="UBJ93" s="456" t="s">
        <v>116</v>
      </c>
      <c r="UBK93" s="456" t="s">
        <v>116</v>
      </c>
      <c r="UBL93" s="456" t="s">
        <v>116</v>
      </c>
      <c r="UBM93" s="456" t="s">
        <v>116</v>
      </c>
      <c r="UBN93" s="456" t="s">
        <v>116</v>
      </c>
      <c r="UBO93" s="456" t="s">
        <v>116</v>
      </c>
      <c r="UBP93" s="456" t="s">
        <v>116</v>
      </c>
      <c r="UBQ93" s="456" t="s">
        <v>116</v>
      </c>
      <c r="UBR93" s="456" t="s">
        <v>116</v>
      </c>
      <c r="UBS93" s="456" t="s">
        <v>116</v>
      </c>
      <c r="UBT93" s="456" t="s">
        <v>116</v>
      </c>
      <c r="UBU93" s="456" t="s">
        <v>116</v>
      </c>
      <c r="UBV93" s="456" t="s">
        <v>116</v>
      </c>
      <c r="UBW93" s="456" t="s">
        <v>116</v>
      </c>
      <c r="UBX93" s="456" t="s">
        <v>116</v>
      </c>
      <c r="UBY93" s="456" t="s">
        <v>116</v>
      </c>
      <c r="UBZ93" s="456" t="s">
        <v>116</v>
      </c>
      <c r="UCA93" s="456" t="s">
        <v>116</v>
      </c>
      <c r="UCB93" s="456" t="s">
        <v>116</v>
      </c>
      <c r="UCC93" s="456" t="s">
        <v>116</v>
      </c>
      <c r="UCD93" s="456" t="s">
        <v>116</v>
      </c>
      <c r="UCE93" s="456" t="s">
        <v>116</v>
      </c>
      <c r="UCF93" s="456" t="s">
        <v>116</v>
      </c>
      <c r="UCG93" s="456" t="s">
        <v>116</v>
      </c>
      <c r="UCH93" s="456" t="s">
        <v>116</v>
      </c>
      <c r="UCI93" s="456" t="s">
        <v>116</v>
      </c>
      <c r="UCJ93" s="456" t="s">
        <v>116</v>
      </c>
      <c r="UCK93" s="456" t="s">
        <v>116</v>
      </c>
      <c r="UCL93" s="456" t="s">
        <v>116</v>
      </c>
      <c r="UCM93" s="456" t="s">
        <v>116</v>
      </c>
      <c r="UCN93" s="456" t="s">
        <v>116</v>
      </c>
      <c r="UCO93" s="456" t="s">
        <v>116</v>
      </c>
      <c r="UCP93" s="456" t="s">
        <v>116</v>
      </c>
      <c r="UCQ93" s="456" t="s">
        <v>116</v>
      </c>
      <c r="UCR93" s="456" t="s">
        <v>116</v>
      </c>
      <c r="UCS93" s="456" t="s">
        <v>116</v>
      </c>
      <c r="UCT93" s="456" t="s">
        <v>116</v>
      </c>
      <c r="UCU93" s="456" t="s">
        <v>116</v>
      </c>
      <c r="UCV93" s="456" t="s">
        <v>116</v>
      </c>
      <c r="UCW93" s="456" t="s">
        <v>116</v>
      </c>
      <c r="UCX93" s="456" t="s">
        <v>116</v>
      </c>
      <c r="UCY93" s="456" t="s">
        <v>116</v>
      </c>
      <c r="UCZ93" s="456" t="s">
        <v>116</v>
      </c>
      <c r="UDA93" s="456" t="s">
        <v>116</v>
      </c>
      <c r="UDB93" s="456" t="s">
        <v>116</v>
      </c>
      <c r="UDC93" s="456" t="s">
        <v>116</v>
      </c>
      <c r="UDD93" s="456" t="s">
        <v>116</v>
      </c>
      <c r="UDE93" s="456" t="s">
        <v>116</v>
      </c>
      <c r="UDF93" s="456" t="s">
        <v>116</v>
      </c>
      <c r="UDG93" s="456" t="s">
        <v>116</v>
      </c>
      <c r="UDH93" s="456" t="s">
        <v>116</v>
      </c>
      <c r="UDI93" s="456" t="s">
        <v>116</v>
      </c>
      <c r="UDJ93" s="456" t="s">
        <v>116</v>
      </c>
      <c r="UDK93" s="456" t="s">
        <v>116</v>
      </c>
      <c r="UDL93" s="456" t="s">
        <v>116</v>
      </c>
      <c r="UDM93" s="456" t="s">
        <v>116</v>
      </c>
      <c r="UDN93" s="456" t="s">
        <v>116</v>
      </c>
      <c r="UDO93" s="456" t="s">
        <v>116</v>
      </c>
      <c r="UDP93" s="456" t="s">
        <v>116</v>
      </c>
      <c r="UDQ93" s="456" t="s">
        <v>116</v>
      </c>
      <c r="UDR93" s="456" t="s">
        <v>116</v>
      </c>
      <c r="UDS93" s="456" t="s">
        <v>116</v>
      </c>
      <c r="UDT93" s="456" t="s">
        <v>116</v>
      </c>
      <c r="UDU93" s="456" t="s">
        <v>116</v>
      </c>
      <c r="UDV93" s="456" t="s">
        <v>116</v>
      </c>
      <c r="UDW93" s="456" t="s">
        <v>116</v>
      </c>
      <c r="UDX93" s="456" t="s">
        <v>116</v>
      </c>
      <c r="UDY93" s="456" t="s">
        <v>116</v>
      </c>
      <c r="UDZ93" s="456" t="s">
        <v>116</v>
      </c>
      <c r="UEA93" s="456" t="s">
        <v>116</v>
      </c>
      <c r="UEB93" s="456" t="s">
        <v>116</v>
      </c>
      <c r="UEC93" s="456" t="s">
        <v>116</v>
      </c>
      <c r="UED93" s="456" t="s">
        <v>116</v>
      </c>
      <c r="UEE93" s="456" t="s">
        <v>116</v>
      </c>
      <c r="UEF93" s="456" t="s">
        <v>116</v>
      </c>
      <c r="UEG93" s="456" t="s">
        <v>116</v>
      </c>
      <c r="UEH93" s="456" t="s">
        <v>116</v>
      </c>
      <c r="UEI93" s="456" t="s">
        <v>116</v>
      </c>
      <c r="UEJ93" s="456" t="s">
        <v>116</v>
      </c>
      <c r="UEK93" s="456" t="s">
        <v>116</v>
      </c>
      <c r="UEL93" s="456" t="s">
        <v>116</v>
      </c>
      <c r="UEM93" s="456" t="s">
        <v>116</v>
      </c>
      <c r="UEN93" s="456" t="s">
        <v>116</v>
      </c>
      <c r="UEO93" s="456" t="s">
        <v>116</v>
      </c>
      <c r="UEP93" s="456" t="s">
        <v>116</v>
      </c>
      <c r="UEQ93" s="456" t="s">
        <v>116</v>
      </c>
      <c r="UER93" s="456" t="s">
        <v>116</v>
      </c>
      <c r="UES93" s="456" t="s">
        <v>116</v>
      </c>
      <c r="UET93" s="456" t="s">
        <v>116</v>
      </c>
      <c r="UEU93" s="456" t="s">
        <v>116</v>
      </c>
      <c r="UEV93" s="456" t="s">
        <v>116</v>
      </c>
      <c r="UEW93" s="456" t="s">
        <v>116</v>
      </c>
      <c r="UEX93" s="456" t="s">
        <v>116</v>
      </c>
      <c r="UEY93" s="456" t="s">
        <v>116</v>
      </c>
      <c r="UEZ93" s="456" t="s">
        <v>116</v>
      </c>
      <c r="UFA93" s="456" t="s">
        <v>116</v>
      </c>
      <c r="UFB93" s="456" t="s">
        <v>116</v>
      </c>
      <c r="UFC93" s="456" t="s">
        <v>116</v>
      </c>
      <c r="UFD93" s="456" t="s">
        <v>116</v>
      </c>
      <c r="UFE93" s="456" t="s">
        <v>116</v>
      </c>
      <c r="UFF93" s="456" t="s">
        <v>116</v>
      </c>
      <c r="UFG93" s="456" t="s">
        <v>116</v>
      </c>
      <c r="UFH93" s="456" t="s">
        <v>116</v>
      </c>
      <c r="UFI93" s="456" t="s">
        <v>116</v>
      </c>
      <c r="UFJ93" s="456" t="s">
        <v>116</v>
      </c>
      <c r="UFK93" s="456" t="s">
        <v>116</v>
      </c>
      <c r="UFL93" s="456" t="s">
        <v>116</v>
      </c>
      <c r="UFM93" s="456" t="s">
        <v>116</v>
      </c>
      <c r="UFN93" s="456" t="s">
        <v>116</v>
      </c>
      <c r="UFO93" s="456" t="s">
        <v>116</v>
      </c>
      <c r="UFP93" s="456" t="s">
        <v>116</v>
      </c>
      <c r="UFQ93" s="456" t="s">
        <v>116</v>
      </c>
      <c r="UFR93" s="456" t="s">
        <v>116</v>
      </c>
      <c r="UFS93" s="456" t="s">
        <v>116</v>
      </c>
      <c r="UFT93" s="456" t="s">
        <v>116</v>
      </c>
      <c r="UFU93" s="456" t="s">
        <v>116</v>
      </c>
      <c r="UFV93" s="456" t="s">
        <v>116</v>
      </c>
      <c r="UFW93" s="456" t="s">
        <v>116</v>
      </c>
      <c r="UFX93" s="456" t="s">
        <v>116</v>
      </c>
      <c r="UFY93" s="456" t="s">
        <v>116</v>
      </c>
      <c r="UFZ93" s="456" t="s">
        <v>116</v>
      </c>
      <c r="UGA93" s="456" t="s">
        <v>116</v>
      </c>
      <c r="UGB93" s="456" t="s">
        <v>116</v>
      </c>
      <c r="UGC93" s="456" t="s">
        <v>116</v>
      </c>
      <c r="UGD93" s="456" t="s">
        <v>116</v>
      </c>
      <c r="UGE93" s="456" t="s">
        <v>116</v>
      </c>
      <c r="UGF93" s="456" t="s">
        <v>116</v>
      </c>
      <c r="UGG93" s="456" t="s">
        <v>116</v>
      </c>
      <c r="UGH93" s="456" t="s">
        <v>116</v>
      </c>
      <c r="UGI93" s="456" t="s">
        <v>116</v>
      </c>
      <c r="UGJ93" s="456" t="s">
        <v>116</v>
      </c>
      <c r="UGK93" s="456" t="s">
        <v>116</v>
      </c>
      <c r="UGL93" s="456" t="s">
        <v>116</v>
      </c>
      <c r="UGM93" s="456" t="s">
        <v>116</v>
      </c>
      <c r="UGN93" s="456" t="s">
        <v>116</v>
      </c>
      <c r="UGO93" s="456" t="s">
        <v>116</v>
      </c>
      <c r="UGP93" s="456" t="s">
        <v>116</v>
      </c>
      <c r="UGQ93" s="456" t="s">
        <v>116</v>
      </c>
      <c r="UGR93" s="456" t="s">
        <v>116</v>
      </c>
      <c r="UGS93" s="456" t="s">
        <v>116</v>
      </c>
      <c r="UGT93" s="456" t="s">
        <v>116</v>
      </c>
      <c r="UGU93" s="456" t="s">
        <v>116</v>
      </c>
      <c r="UGV93" s="456" t="s">
        <v>116</v>
      </c>
      <c r="UGW93" s="456" t="s">
        <v>116</v>
      </c>
      <c r="UGX93" s="456" t="s">
        <v>116</v>
      </c>
      <c r="UGY93" s="456" t="s">
        <v>116</v>
      </c>
      <c r="UGZ93" s="456" t="s">
        <v>116</v>
      </c>
      <c r="UHA93" s="456" t="s">
        <v>116</v>
      </c>
      <c r="UHB93" s="456" t="s">
        <v>116</v>
      </c>
      <c r="UHC93" s="456" t="s">
        <v>116</v>
      </c>
      <c r="UHD93" s="456" t="s">
        <v>116</v>
      </c>
      <c r="UHE93" s="456" t="s">
        <v>116</v>
      </c>
      <c r="UHF93" s="456" t="s">
        <v>116</v>
      </c>
      <c r="UHG93" s="456" t="s">
        <v>116</v>
      </c>
      <c r="UHH93" s="456" t="s">
        <v>116</v>
      </c>
      <c r="UHI93" s="456" t="s">
        <v>116</v>
      </c>
      <c r="UHJ93" s="456" t="s">
        <v>116</v>
      </c>
      <c r="UHK93" s="456" t="s">
        <v>116</v>
      </c>
      <c r="UHL93" s="456" t="s">
        <v>116</v>
      </c>
      <c r="UHM93" s="456" t="s">
        <v>116</v>
      </c>
      <c r="UHN93" s="456" t="s">
        <v>116</v>
      </c>
      <c r="UHO93" s="456" t="s">
        <v>116</v>
      </c>
      <c r="UHP93" s="456" t="s">
        <v>116</v>
      </c>
      <c r="UHQ93" s="456" t="s">
        <v>116</v>
      </c>
      <c r="UHR93" s="456" t="s">
        <v>116</v>
      </c>
      <c r="UHS93" s="456" t="s">
        <v>116</v>
      </c>
      <c r="UHT93" s="456" t="s">
        <v>116</v>
      </c>
      <c r="UHU93" s="456" t="s">
        <v>116</v>
      </c>
      <c r="UHV93" s="456" t="s">
        <v>116</v>
      </c>
      <c r="UHW93" s="456" t="s">
        <v>116</v>
      </c>
      <c r="UHX93" s="456" t="s">
        <v>116</v>
      </c>
      <c r="UHY93" s="456" t="s">
        <v>116</v>
      </c>
      <c r="UHZ93" s="456" t="s">
        <v>116</v>
      </c>
      <c r="UIA93" s="456" t="s">
        <v>116</v>
      </c>
      <c r="UIB93" s="456" t="s">
        <v>116</v>
      </c>
      <c r="UIC93" s="456" t="s">
        <v>116</v>
      </c>
      <c r="UID93" s="456" t="s">
        <v>116</v>
      </c>
      <c r="UIE93" s="456" t="s">
        <v>116</v>
      </c>
      <c r="UIF93" s="456" t="s">
        <v>116</v>
      </c>
      <c r="UIG93" s="456" t="s">
        <v>116</v>
      </c>
      <c r="UIH93" s="456" t="s">
        <v>116</v>
      </c>
      <c r="UII93" s="456" t="s">
        <v>116</v>
      </c>
      <c r="UIJ93" s="456" t="s">
        <v>116</v>
      </c>
      <c r="UIK93" s="456" t="s">
        <v>116</v>
      </c>
      <c r="UIL93" s="456" t="s">
        <v>116</v>
      </c>
      <c r="UIM93" s="456" t="s">
        <v>116</v>
      </c>
      <c r="UIN93" s="456" t="s">
        <v>116</v>
      </c>
      <c r="UIO93" s="456" t="s">
        <v>116</v>
      </c>
      <c r="UIP93" s="456" t="s">
        <v>116</v>
      </c>
      <c r="UIQ93" s="456" t="s">
        <v>116</v>
      </c>
      <c r="UIR93" s="456" t="s">
        <v>116</v>
      </c>
      <c r="UIS93" s="456" t="s">
        <v>116</v>
      </c>
      <c r="UIT93" s="456" t="s">
        <v>116</v>
      </c>
      <c r="UIU93" s="456" t="s">
        <v>116</v>
      </c>
      <c r="UIV93" s="456" t="s">
        <v>116</v>
      </c>
      <c r="UIW93" s="456" t="s">
        <v>116</v>
      </c>
      <c r="UIX93" s="456" t="s">
        <v>116</v>
      </c>
      <c r="UIY93" s="456" t="s">
        <v>116</v>
      </c>
      <c r="UIZ93" s="456" t="s">
        <v>116</v>
      </c>
      <c r="UJA93" s="456" t="s">
        <v>116</v>
      </c>
      <c r="UJB93" s="456" t="s">
        <v>116</v>
      </c>
      <c r="UJC93" s="456" t="s">
        <v>116</v>
      </c>
      <c r="UJD93" s="456" t="s">
        <v>116</v>
      </c>
      <c r="UJE93" s="456" t="s">
        <v>116</v>
      </c>
      <c r="UJF93" s="456" t="s">
        <v>116</v>
      </c>
      <c r="UJG93" s="456" t="s">
        <v>116</v>
      </c>
      <c r="UJH93" s="456" t="s">
        <v>116</v>
      </c>
      <c r="UJI93" s="456" t="s">
        <v>116</v>
      </c>
      <c r="UJJ93" s="456" t="s">
        <v>116</v>
      </c>
      <c r="UJK93" s="456" t="s">
        <v>116</v>
      </c>
      <c r="UJL93" s="456" t="s">
        <v>116</v>
      </c>
      <c r="UJM93" s="456" t="s">
        <v>116</v>
      </c>
      <c r="UJN93" s="456" t="s">
        <v>116</v>
      </c>
      <c r="UJO93" s="456" t="s">
        <v>116</v>
      </c>
      <c r="UJP93" s="456" t="s">
        <v>116</v>
      </c>
      <c r="UJQ93" s="456" t="s">
        <v>116</v>
      </c>
      <c r="UJR93" s="456" t="s">
        <v>116</v>
      </c>
      <c r="UJS93" s="456" t="s">
        <v>116</v>
      </c>
      <c r="UJT93" s="456" t="s">
        <v>116</v>
      </c>
      <c r="UJU93" s="456" t="s">
        <v>116</v>
      </c>
      <c r="UJV93" s="456" t="s">
        <v>116</v>
      </c>
      <c r="UJW93" s="456" t="s">
        <v>116</v>
      </c>
      <c r="UJX93" s="456" t="s">
        <v>116</v>
      </c>
      <c r="UJY93" s="456" t="s">
        <v>116</v>
      </c>
      <c r="UJZ93" s="456" t="s">
        <v>116</v>
      </c>
      <c r="UKA93" s="456" t="s">
        <v>116</v>
      </c>
      <c r="UKB93" s="456" t="s">
        <v>116</v>
      </c>
      <c r="UKC93" s="456" t="s">
        <v>116</v>
      </c>
      <c r="UKD93" s="456" t="s">
        <v>116</v>
      </c>
      <c r="UKE93" s="456" t="s">
        <v>116</v>
      </c>
      <c r="UKF93" s="456" t="s">
        <v>116</v>
      </c>
      <c r="UKG93" s="456" t="s">
        <v>116</v>
      </c>
      <c r="UKH93" s="456" t="s">
        <v>116</v>
      </c>
      <c r="UKI93" s="456" t="s">
        <v>116</v>
      </c>
      <c r="UKJ93" s="456" t="s">
        <v>116</v>
      </c>
      <c r="UKK93" s="456" t="s">
        <v>116</v>
      </c>
      <c r="UKL93" s="456" t="s">
        <v>116</v>
      </c>
      <c r="UKM93" s="456" t="s">
        <v>116</v>
      </c>
      <c r="UKN93" s="456" t="s">
        <v>116</v>
      </c>
      <c r="UKO93" s="456" t="s">
        <v>116</v>
      </c>
      <c r="UKP93" s="456" t="s">
        <v>116</v>
      </c>
      <c r="UKQ93" s="456" t="s">
        <v>116</v>
      </c>
      <c r="UKR93" s="456" t="s">
        <v>116</v>
      </c>
      <c r="UKS93" s="456" t="s">
        <v>116</v>
      </c>
      <c r="UKT93" s="456" t="s">
        <v>116</v>
      </c>
      <c r="UKU93" s="456" t="s">
        <v>116</v>
      </c>
      <c r="UKV93" s="456" t="s">
        <v>116</v>
      </c>
      <c r="UKW93" s="456" t="s">
        <v>116</v>
      </c>
      <c r="UKX93" s="456" t="s">
        <v>116</v>
      </c>
      <c r="UKY93" s="456" t="s">
        <v>116</v>
      </c>
      <c r="UKZ93" s="456" t="s">
        <v>116</v>
      </c>
      <c r="ULA93" s="456" t="s">
        <v>116</v>
      </c>
      <c r="ULB93" s="456" t="s">
        <v>116</v>
      </c>
      <c r="ULC93" s="456" t="s">
        <v>116</v>
      </c>
      <c r="ULD93" s="456" t="s">
        <v>116</v>
      </c>
      <c r="ULE93" s="456" t="s">
        <v>116</v>
      </c>
      <c r="ULF93" s="456" t="s">
        <v>116</v>
      </c>
      <c r="ULG93" s="456" t="s">
        <v>116</v>
      </c>
      <c r="ULH93" s="456" t="s">
        <v>116</v>
      </c>
      <c r="ULI93" s="456" t="s">
        <v>116</v>
      </c>
      <c r="ULJ93" s="456" t="s">
        <v>116</v>
      </c>
      <c r="ULK93" s="456" t="s">
        <v>116</v>
      </c>
      <c r="ULL93" s="456" t="s">
        <v>116</v>
      </c>
      <c r="ULM93" s="456" t="s">
        <v>116</v>
      </c>
      <c r="ULN93" s="456" t="s">
        <v>116</v>
      </c>
      <c r="ULO93" s="456" t="s">
        <v>116</v>
      </c>
      <c r="ULP93" s="456" t="s">
        <v>116</v>
      </c>
      <c r="ULQ93" s="456" t="s">
        <v>116</v>
      </c>
      <c r="ULR93" s="456" t="s">
        <v>116</v>
      </c>
      <c r="ULS93" s="456" t="s">
        <v>116</v>
      </c>
      <c r="ULT93" s="456" t="s">
        <v>116</v>
      </c>
      <c r="ULU93" s="456" t="s">
        <v>116</v>
      </c>
      <c r="ULV93" s="456" t="s">
        <v>116</v>
      </c>
      <c r="ULW93" s="456" t="s">
        <v>116</v>
      </c>
      <c r="ULX93" s="456" t="s">
        <v>116</v>
      </c>
      <c r="ULY93" s="456" t="s">
        <v>116</v>
      </c>
      <c r="ULZ93" s="456" t="s">
        <v>116</v>
      </c>
      <c r="UMA93" s="456" t="s">
        <v>116</v>
      </c>
      <c r="UMB93" s="456" t="s">
        <v>116</v>
      </c>
      <c r="UMC93" s="456" t="s">
        <v>116</v>
      </c>
      <c r="UMD93" s="456" t="s">
        <v>116</v>
      </c>
      <c r="UME93" s="456" t="s">
        <v>116</v>
      </c>
      <c r="UMF93" s="456" t="s">
        <v>116</v>
      </c>
      <c r="UMG93" s="456" t="s">
        <v>116</v>
      </c>
      <c r="UMH93" s="456" t="s">
        <v>116</v>
      </c>
      <c r="UMI93" s="456" t="s">
        <v>116</v>
      </c>
      <c r="UMJ93" s="456" t="s">
        <v>116</v>
      </c>
      <c r="UMK93" s="456" t="s">
        <v>116</v>
      </c>
      <c r="UML93" s="456" t="s">
        <v>116</v>
      </c>
      <c r="UMM93" s="456" t="s">
        <v>116</v>
      </c>
      <c r="UMN93" s="456" t="s">
        <v>116</v>
      </c>
      <c r="UMO93" s="456" t="s">
        <v>116</v>
      </c>
      <c r="UMP93" s="456" t="s">
        <v>116</v>
      </c>
      <c r="UMQ93" s="456" t="s">
        <v>116</v>
      </c>
      <c r="UMR93" s="456" t="s">
        <v>116</v>
      </c>
      <c r="UMS93" s="456" t="s">
        <v>116</v>
      </c>
      <c r="UMT93" s="456" t="s">
        <v>116</v>
      </c>
      <c r="UMU93" s="456" t="s">
        <v>116</v>
      </c>
      <c r="UMV93" s="456" t="s">
        <v>116</v>
      </c>
      <c r="UMW93" s="456" t="s">
        <v>116</v>
      </c>
      <c r="UMX93" s="456" t="s">
        <v>116</v>
      </c>
      <c r="UMY93" s="456" t="s">
        <v>116</v>
      </c>
      <c r="UMZ93" s="456" t="s">
        <v>116</v>
      </c>
      <c r="UNA93" s="456" t="s">
        <v>116</v>
      </c>
      <c r="UNB93" s="456" t="s">
        <v>116</v>
      </c>
      <c r="UNC93" s="456" t="s">
        <v>116</v>
      </c>
      <c r="UND93" s="456" t="s">
        <v>116</v>
      </c>
      <c r="UNE93" s="456" t="s">
        <v>116</v>
      </c>
      <c r="UNF93" s="456" t="s">
        <v>116</v>
      </c>
      <c r="UNG93" s="456" t="s">
        <v>116</v>
      </c>
      <c r="UNH93" s="456" t="s">
        <v>116</v>
      </c>
      <c r="UNI93" s="456" t="s">
        <v>116</v>
      </c>
      <c r="UNJ93" s="456" t="s">
        <v>116</v>
      </c>
      <c r="UNK93" s="456" t="s">
        <v>116</v>
      </c>
      <c r="UNL93" s="456" t="s">
        <v>116</v>
      </c>
      <c r="UNM93" s="456" t="s">
        <v>116</v>
      </c>
      <c r="UNN93" s="456" t="s">
        <v>116</v>
      </c>
      <c r="UNO93" s="456" t="s">
        <v>116</v>
      </c>
      <c r="UNP93" s="456" t="s">
        <v>116</v>
      </c>
      <c r="UNQ93" s="456" t="s">
        <v>116</v>
      </c>
      <c r="UNR93" s="456" t="s">
        <v>116</v>
      </c>
      <c r="UNS93" s="456" t="s">
        <v>116</v>
      </c>
      <c r="UNT93" s="456" t="s">
        <v>116</v>
      </c>
      <c r="UNU93" s="456" t="s">
        <v>116</v>
      </c>
      <c r="UNV93" s="456" t="s">
        <v>116</v>
      </c>
      <c r="UNW93" s="456" t="s">
        <v>116</v>
      </c>
      <c r="UNX93" s="456" t="s">
        <v>116</v>
      </c>
      <c r="UNY93" s="456" t="s">
        <v>116</v>
      </c>
      <c r="UNZ93" s="456" t="s">
        <v>116</v>
      </c>
      <c r="UOA93" s="456" t="s">
        <v>116</v>
      </c>
      <c r="UOB93" s="456" t="s">
        <v>116</v>
      </c>
      <c r="UOC93" s="456" t="s">
        <v>116</v>
      </c>
      <c r="UOD93" s="456" t="s">
        <v>116</v>
      </c>
      <c r="UOE93" s="456" t="s">
        <v>116</v>
      </c>
      <c r="UOF93" s="456" t="s">
        <v>116</v>
      </c>
      <c r="UOG93" s="456" t="s">
        <v>116</v>
      </c>
      <c r="UOH93" s="456" t="s">
        <v>116</v>
      </c>
      <c r="UOI93" s="456" t="s">
        <v>116</v>
      </c>
      <c r="UOJ93" s="456" t="s">
        <v>116</v>
      </c>
      <c r="UOK93" s="456" t="s">
        <v>116</v>
      </c>
      <c r="UOL93" s="456" t="s">
        <v>116</v>
      </c>
      <c r="UOM93" s="456" t="s">
        <v>116</v>
      </c>
      <c r="UON93" s="456" t="s">
        <v>116</v>
      </c>
      <c r="UOO93" s="456" t="s">
        <v>116</v>
      </c>
      <c r="UOP93" s="456" t="s">
        <v>116</v>
      </c>
      <c r="UOQ93" s="456" t="s">
        <v>116</v>
      </c>
      <c r="UOR93" s="456" t="s">
        <v>116</v>
      </c>
      <c r="UOS93" s="456" t="s">
        <v>116</v>
      </c>
      <c r="UOT93" s="456" t="s">
        <v>116</v>
      </c>
      <c r="UOU93" s="456" t="s">
        <v>116</v>
      </c>
      <c r="UOV93" s="456" t="s">
        <v>116</v>
      </c>
      <c r="UOW93" s="456" t="s">
        <v>116</v>
      </c>
      <c r="UOX93" s="456" t="s">
        <v>116</v>
      </c>
      <c r="UOY93" s="456" t="s">
        <v>116</v>
      </c>
      <c r="UOZ93" s="456" t="s">
        <v>116</v>
      </c>
      <c r="UPA93" s="456" t="s">
        <v>116</v>
      </c>
      <c r="UPB93" s="456" t="s">
        <v>116</v>
      </c>
      <c r="UPC93" s="456" t="s">
        <v>116</v>
      </c>
      <c r="UPD93" s="456" t="s">
        <v>116</v>
      </c>
      <c r="UPE93" s="456" t="s">
        <v>116</v>
      </c>
      <c r="UPF93" s="456" t="s">
        <v>116</v>
      </c>
      <c r="UPG93" s="456" t="s">
        <v>116</v>
      </c>
      <c r="UPH93" s="456" t="s">
        <v>116</v>
      </c>
      <c r="UPI93" s="456" t="s">
        <v>116</v>
      </c>
      <c r="UPJ93" s="456" t="s">
        <v>116</v>
      </c>
      <c r="UPK93" s="456" t="s">
        <v>116</v>
      </c>
      <c r="UPL93" s="456" t="s">
        <v>116</v>
      </c>
      <c r="UPM93" s="456" t="s">
        <v>116</v>
      </c>
      <c r="UPN93" s="456" t="s">
        <v>116</v>
      </c>
      <c r="UPO93" s="456" t="s">
        <v>116</v>
      </c>
      <c r="UPP93" s="456" t="s">
        <v>116</v>
      </c>
      <c r="UPQ93" s="456" t="s">
        <v>116</v>
      </c>
      <c r="UPR93" s="456" t="s">
        <v>116</v>
      </c>
      <c r="UPS93" s="456" t="s">
        <v>116</v>
      </c>
      <c r="UPT93" s="456" t="s">
        <v>116</v>
      </c>
      <c r="UPU93" s="456" t="s">
        <v>116</v>
      </c>
      <c r="UPV93" s="456" t="s">
        <v>116</v>
      </c>
      <c r="UPW93" s="456" t="s">
        <v>116</v>
      </c>
      <c r="UPX93" s="456" t="s">
        <v>116</v>
      </c>
      <c r="UPY93" s="456" t="s">
        <v>116</v>
      </c>
      <c r="UPZ93" s="456" t="s">
        <v>116</v>
      </c>
      <c r="UQA93" s="456" t="s">
        <v>116</v>
      </c>
      <c r="UQB93" s="456" t="s">
        <v>116</v>
      </c>
      <c r="UQC93" s="456" t="s">
        <v>116</v>
      </c>
      <c r="UQD93" s="456" t="s">
        <v>116</v>
      </c>
      <c r="UQE93" s="456" t="s">
        <v>116</v>
      </c>
      <c r="UQF93" s="456" t="s">
        <v>116</v>
      </c>
      <c r="UQG93" s="456" t="s">
        <v>116</v>
      </c>
      <c r="UQH93" s="456" t="s">
        <v>116</v>
      </c>
      <c r="UQI93" s="456" t="s">
        <v>116</v>
      </c>
      <c r="UQJ93" s="456" t="s">
        <v>116</v>
      </c>
      <c r="UQK93" s="456" t="s">
        <v>116</v>
      </c>
      <c r="UQL93" s="456" t="s">
        <v>116</v>
      </c>
      <c r="UQM93" s="456" t="s">
        <v>116</v>
      </c>
      <c r="UQN93" s="456" t="s">
        <v>116</v>
      </c>
      <c r="UQO93" s="456" t="s">
        <v>116</v>
      </c>
      <c r="UQP93" s="456" t="s">
        <v>116</v>
      </c>
      <c r="UQQ93" s="456" t="s">
        <v>116</v>
      </c>
      <c r="UQR93" s="456" t="s">
        <v>116</v>
      </c>
      <c r="UQS93" s="456" t="s">
        <v>116</v>
      </c>
      <c r="UQT93" s="456" t="s">
        <v>116</v>
      </c>
      <c r="UQU93" s="456" t="s">
        <v>116</v>
      </c>
      <c r="UQV93" s="456" t="s">
        <v>116</v>
      </c>
      <c r="UQW93" s="456" t="s">
        <v>116</v>
      </c>
      <c r="UQX93" s="456" t="s">
        <v>116</v>
      </c>
      <c r="UQY93" s="456" t="s">
        <v>116</v>
      </c>
      <c r="UQZ93" s="456" t="s">
        <v>116</v>
      </c>
      <c r="URA93" s="456" t="s">
        <v>116</v>
      </c>
      <c r="URB93" s="456" t="s">
        <v>116</v>
      </c>
      <c r="URC93" s="456" t="s">
        <v>116</v>
      </c>
      <c r="URD93" s="456" t="s">
        <v>116</v>
      </c>
      <c r="URE93" s="456" t="s">
        <v>116</v>
      </c>
      <c r="URF93" s="456" t="s">
        <v>116</v>
      </c>
      <c r="URG93" s="456" t="s">
        <v>116</v>
      </c>
      <c r="URH93" s="456" t="s">
        <v>116</v>
      </c>
      <c r="URI93" s="456" t="s">
        <v>116</v>
      </c>
      <c r="URJ93" s="456" t="s">
        <v>116</v>
      </c>
      <c r="URK93" s="456" t="s">
        <v>116</v>
      </c>
      <c r="URL93" s="456" t="s">
        <v>116</v>
      </c>
      <c r="URM93" s="456" t="s">
        <v>116</v>
      </c>
      <c r="URN93" s="456" t="s">
        <v>116</v>
      </c>
      <c r="URO93" s="456" t="s">
        <v>116</v>
      </c>
      <c r="URP93" s="456" t="s">
        <v>116</v>
      </c>
      <c r="URQ93" s="456" t="s">
        <v>116</v>
      </c>
      <c r="URR93" s="456" t="s">
        <v>116</v>
      </c>
      <c r="URS93" s="456" t="s">
        <v>116</v>
      </c>
      <c r="URT93" s="456" t="s">
        <v>116</v>
      </c>
      <c r="URU93" s="456" t="s">
        <v>116</v>
      </c>
      <c r="URV93" s="456" t="s">
        <v>116</v>
      </c>
      <c r="URW93" s="456" t="s">
        <v>116</v>
      </c>
      <c r="URX93" s="456" t="s">
        <v>116</v>
      </c>
      <c r="URY93" s="456" t="s">
        <v>116</v>
      </c>
      <c r="URZ93" s="456" t="s">
        <v>116</v>
      </c>
      <c r="USA93" s="456" t="s">
        <v>116</v>
      </c>
      <c r="USB93" s="456" t="s">
        <v>116</v>
      </c>
      <c r="USC93" s="456" t="s">
        <v>116</v>
      </c>
      <c r="USD93" s="456" t="s">
        <v>116</v>
      </c>
      <c r="USE93" s="456" t="s">
        <v>116</v>
      </c>
      <c r="USF93" s="456" t="s">
        <v>116</v>
      </c>
      <c r="USG93" s="456" t="s">
        <v>116</v>
      </c>
      <c r="USH93" s="456" t="s">
        <v>116</v>
      </c>
      <c r="USI93" s="456" t="s">
        <v>116</v>
      </c>
      <c r="USJ93" s="456" t="s">
        <v>116</v>
      </c>
      <c r="USK93" s="456" t="s">
        <v>116</v>
      </c>
      <c r="USL93" s="456" t="s">
        <v>116</v>
      </c>
      <c r="USM93" s="456" t="s">
        <v>116</v>
      </c>
      <c r="USN93" s="456" t="s">
        <v>116</v>
      </c>
      <c r="USO93" s="456" t="s">
        <v>116</v>
      </c>
      <c r="USP93" s="456" t="s">
        <v>116</v>
      </c>
      <c r="USQ93" s="456" t="s">
        <v>116</v>
      </c>
      <c r="USR93" s="456" t="s">
        <v>116</v>
      </c>
      <c r="USS93" s="456" t="s">
        <v>116</v>
      </c>
      <c r="UST93" s="456" t="s">
        <v>116</v>
      </c>
      <c r="USU93" s="456" t="s">
        <v>116</v>
      </c>
      <c r="USV93" s="456" t="s">
        <v>116</v>
      </c>
      <c r="USW93" s="456" t="s">
        <v>116</v>
      </c>
      <c r="USX93" s="456" t="s">
        <v>116</v>
      </c>
      <c r="USY93" s="456" t="s">
        <v>116</v>
      </c>
      <c r="USZ93" s="456" t="s">
        <v>116</v>
      </c>
      <c r="UTA93" s="456" t="s">
        <v>116</v>
      </c>
      <c r="UTB93" s="456" t="s">
        <v>116</v>
      </c>
      <c r="UTC93" s="456" t="s">
        <v>116</v>
      </c>
      <c r="UTD93" s="456" t="s">
        <v>116</v>
      </c>
      <c r="UTE93" s="456" t="s">
        <v>116</v>
      </c>
      <c r="UTF93" s="456" t="s">
        <v>116</v>
      </c>
      <c r="UTG93" s="456" t="s">
        <v>116</v>
      </c>
      <c r="UTH93" s="456" t="s">
        <v>116</v>
      </c>
      <c r="UTI93" s="456" t="s">
        <v>116</v>
      </c>
      <c r="UTJ93" s="456" t="s">
        <v>116</v>
      </c>
      <c r="UTK93" s="456" t="s">
        <v>116</v>
      </c>
      <c r="UTL93" s="456" t="s">
        <v>116</v>
      </c>
      <c r="UTM93" s="456" t="s">
        <v>116</v>
      </c>
      <c r="UTN93" s="456" t="s">
        <v>116</v>
      </c>
      <c r="UTO93" s="456" t="s">
        <v>116</v>
      </c>
      <c r="UTP93" s="456" t="s">
        <v>116</v>
      </c>
      <c r="UTQ93" s="456" t="s">
        <v>116</v>
      </c>
      <c r="UTR93" s="456" t="s">
        <v>116</v>
      </c>
      <c r="UTS93" s="456" t="s">
        <v>116</v>
      </c>
      <c r="UTT93" s="456" t="s">
        <v>116</v>
      </c>
      <c r="UTU93" s="456" t="s">
        <v>116</v>
      </c>
      <c r="UTV93" s="456" t="s">
        <v>116</v>
      </c>
      <c r="UTW93" s="456" t="s">
        <v>116</v>
      </c>
      <c r="UTX93" s="456" t="s">
        <v>116</v>
      </c>
      <c r="UTY93" s="456" t="s">
        <v>116</v>
      </c>
      <c r="UTZ93" s="456" t="s">
        <v>116</v>
      </c>
      <c r="UUA93" s="456" t="s">
        <v>116</v>
      </c>
      <c r="UUB93" s="456" t="s">
        <v>116</v>
      </c>
      <c r="UUC93" s="456" t="s">
        <v>116</v>
      </c>
      <c r="UUD93" s="456" t="s">
        <v>116</v>
      </c>
      <c r="UUE93" s="456" t="s">
        <v>116</v>
      </c>
      <c r="UUF93" s="456" t="s">
        <v>116</v>
      </c>
      <c r="UUG93" s="456" t="s">
        <v>116</v>
      </c>
      <c r="UUH93" s="456" t="s">
        <v>116</v>
      </c>
      <c r="UUI93" s="456" t="s">
        <v>116</v>
      </c>
      <c r="UUJ93" s="456" t="s">
        <v>116</v>
      </c>
      <c r="UUK93" s="456" t="s">
        <v>116</v>
      </c>
      <c r="UUL93" s="456" t="s">
        <v>116</v>
      </c>
      <c r="UUM93" s="456" t="s">
        <v>116</v>
      </c>
      <c r="UUN93" s="456" t="s">
        <v>116</v>
      </c>
      <c r="UUO93" s="456" t="s">
        <v>116</v>
      </c>
      <c r="UUP93" s="456" t="s">
        <v>116</v>
      </c>
      <c r="UUQ93" s="456" t="s">
        <v>116</v>
      </c>
      <c r="UUR93" s="456" t="s">
        <v>116</v>
      </c>
      <c r="UUS93" s="456" t="s">
        <v>116</v>
      </c>
      <c r="UUT93" s="456" t="s">
        <v>116</v>
      </c>
      <c r="UUU93" s="456" t="s">
        <v>116</v>
      </c>
      <c r="UUV93" s="456" t="s">
        <v>116</v>
      </c>
      <c r="UUW93" s="456" t="s">
        <v>116</v>
      </c>
      <c r="UUX93" s="456" t="s">
        <v>116</v>
      </c>
      <c r="UUY93" s="456" t="s">
        <v>116</v>
      </c>
      <c r="UUZ93" s="456" t="s">
        <v>116</v>
      </c>
      <c r="UVA93" s="456" t="s">
        <v>116</v>
      </c>
      <c r="UVB93" s="456" t="s">
        <v>116</v>
      </c>
      <c r="UVC93" s="456" t="s">
        <v>116</v>
      </c>
      <c r="UVD93" s="456" t="s">
        <v>116</v>
      </c>
      <c r="UVE93" s="456" t="s">
        <v>116</v>
      </c>
      <c r="UVF93" s="456" t="s">
        <v>116</v>
      </c>
      <c r="UVG93" s="456" t="s">
        <v>116</v>
      </c>
      <c r="UVH93" s="456" t="s">
        <v>116</v>
      </c>
      <c r="UVI93" s="456" t="s">
        <v>116</v>
      </c>
      <c r="UVJ93" s="456" t="s">
        <v>116</v>
      </c>
      <c r="UVK93" s="456" t="s">
        <v>116</v>
      </c>
      <c r="UVL93" s="456" t="s">
        <v>116</v>
      </c>
      <c r="UVM93" s="456" t="s">
        <v>116</v>
      </c>
      <c r="UVN93" s="456" t="s">
        <v>116</v>
      </c>
      <c r="UVO93" s="456" t="s">
        <v>116</v>
      </c>
      <c r="UVP93" s="456" t="s">
        <v>116</v>
      </c>
      <c r="UVQ93" s="456" t="s">
        <v>116</v>
      </c>
      <c r="UVR93" s="456" t="s">
        <v>116</v>
      </c>
      <c r="UVS93" s="456" t="s">
        <v>116</v>
      </c>
      <c r="UVT93" s="456" t="s">
        <v>116</v>
      </c>
      <c r="UVU93" s="456" t="s">
        <v>116</v>
      </c>
      <c r="UVV93" s="456" t="s">
        <v>116</v>
      </c>
      <c r="UVW93" s="456" t="s">
        <v>116</v>
      </c>
      <c r="UVX93" s="456" t="s">
        <v>116</v>
      </c>
      <c r="UVY93" s="456" t="s">
        <v>116</v>
      </c>
      <c r="UVZ93" s="456" t="s">
        <v>116</v>
      </c>
      <c r="UWA93" s="456" t="s">
        <v>116</v>
      </c>
      <c r="UWB93" s="456" t="s">
        <v>116</v>
      </c>
      <c r="UWC93" s="456" t="s">
        <v>116</v>
      </c>
      <c r="UWD93" s="456" t="s">
        <v>116</v>
      </c>
      <c r="UWE93" s="456" t="s">
        <v>116</v>
      </c>
      <c r="UWF93" s="456" t="s">
        <v>116</v>
      </c>
      <c r="UWG93" s="456" t="s">
        <v>116</v>
      </c>
      <c r="UWH93" s="456" t="s">
        <v>116</v>
      </c>
      <c r="UWI93" s="456" t="s">
        <v>116</v>
      </c>
      <c r="UWJ93" s="456" t="s">
        <v>116</v>
      </c>
      <c r="UWK93" s="456" t="s">
        <v>116</v>
      </c>
      <c r="UWL93" s="456" t="s">
        <v>116</v>
      </c>
      <c r="UWM93" s="456" t="s">
        <v>116</v>
      </c>
      <c r="UWN93" s="456" t="s">
        <v>116</v>
      </c>
      <c r="UWO93" s="456" t="s">
        <v>116</v>
      </c>
      <c r="UWP93" s="456" t="s">
        <v>116</v>
      </c>
      <c r="UWQ93" s="456" t="s">
        <v>116</v>
      </c>
      <c r="UWR93" s="456" t="s">
        <v>116</v>
      </c>
      <c r="UWS93" s="456" t="s">
        <v>116</v>
      </c>
      <c r="UWT93" s="456" t="s">
        <v>116</v>
      </c>
      <c r="UWU93" s="456" t="s">
        <v>116</v>
      </c>
      <c r="UWV93" s="456" t="s">
        <v>116</v>
      </c>
      <c r="UWW93" s="456" t="s">
        <v>116</v>
      </c>
      <c r="UWX93" s="456" t="s">
        <v>116</v>
      </c>
      <c r="UWY93" s="456" t="s">
        <v>116</v>
      </c>
      <c r="UWZ93" s="456" t="s">
        <v>116</v>
      </c>
      <c r="UXA93" s="456" t="s">
        <v>116</v>
      </c>
      <c r="UXB93" s="456" t="s">
        <v>116</v>
      </c>
      <c r="UXC93" s="456" t="s">
        <v>116</v>
      </c>
      <c r="UXD93" s="456" t="s">
        <v>116</v>
      </c>
      <c r="UXE93" s="456" t="s">
        <v>116</v>
      </c>
      <c r="UXF93" s="456" t="s">
        <v>116</v>
      </c>
      <c r="UXG93" s="456" t="s">
        <v>116</v>
      </c>
      <c r="UXH93" s="456" t="s">
        <v>116</v>
      </c>
      <c r="UXI93" s="456" t="s">
        <v>116</v>
      </c>
      <c r="UXJ93" s="456" t="s">
        <v>116</v>
      </c>
      <c r="UXK93" s="456" t="s">
        <v>116</v>
      </c>
      <c r="UXL93" s="456" t="s">
        <v>116</v>
      </c>
      <c r="UXM93" s="456" t="s">
        <v>116</v>
      </c>
      <c r="UXN93" s="456" t="s">
        <v>116</v>
      </c>
      <c r="UXO93" s="456" t="s">
        <v>116</v>
      </c>
      <c r="UXP93" s="456" t="s">
        <v>116</v>
      </c>
      <c r="UXQ93" s="456" t="s">
        <v>116</v>
      </c>
      <c r="UXR93" s="456" t="s">
        <v>116</v>
      </c>
      <c r="UXS93" s="456" t="s">
        <v>116</v>
      </c>
      <c r="UXT93" s="456" t="s">
        <v>116</v>
      </c>
      <c r="UXU93" s="456" t="s">
        <v>116</v>
      </c>
      <c r="UXV93" s="456" t="s">
        <v>116</v>
      </c>
      <c r="UXW93" s="456" t="s">
        <v>116</v>
      </c>
      <c r="UXX93" s="456" t="s">
        <v>116</v>
      </c>
      <c r="UXY93" s="456" t="s">
        <v>116</v>
      </c>
      <c r="UXZ93" s="456" t="s">
        <v>116</v>
      </c>
      <c r="UYA93" s="456" t="s">
        <v>116</v>
      </c>
      <c r="UYB93" s="456" t="s">
        <v>116</v>
      </c>
      <c r="UYC93" s="456" t="s">
        <v>116</v>
      </c>
      <c r="UYD93" s="456" t="s">
        <v>116</v>
      </c>
      <c r="UYE93" s="456" t="s">
        <v>116</v>
      </c>
      <c r="UYF93" s="456" t="s">
        <v>116</v>
      </c>
      <c r="UYG93" s="456" t="s">
        <v>116</v>
      </c>
      <c r="UYH93" s="456" t="s">
        <v>116</v>
      </c>
      <c r="UYI93" s="456" t="s">
        <v>116</v>
      </c>
      <c r="UYJ93" s="456" t="s">
        <v>116</v>
      </c>
      <c r="UYK93" s="456" t="s">
        <v>116</v>
      </c>
      <c r="UYL93" s="456" t="s">
        <v>116</v>
      </c>
      <c r="UYM93" s="456" t="s">
        <v>116</v>
      </c>
      <c r="UYN93" s="456" t="s">
        <v>116</v>
      </c>
      <c r="UYO93" s="456" t="s">
        <v>116</v>
      </c>
      <c r="UYP93" s="456" t="s">
        <v>116</v>
      </c>
      <c r="UYQ93" s="456" t="s">
        <v>116</v>
      </c>
      <c r="UYR93" s="456" t="s">
        <v>116</v>
      </c>
      <c r="UYS93" s="456" t="s">
        <v>116</v>
      </c>
      <c r="UYT93" s="456" t="s">
        <v>116</v>
      </c>
      <c r="UYU93" s="456" t="s">
        <v>116</v>
      </c>
      <c r="UYV93" s="456" t="s">
        <v>116</v>
      </c>
      <c r="UYW93" s="456" t="s">
        <v>116</v>
      </c>
      <c r="UYX93" s="456" t="s">
        <v>116</v>
      </c>
      <c r="UYY93" s="456" t="s">
        <v>116</v>
      </c>
      <c r="UYZ93" s="456" t="s">
        <v>116</v>
      </c>
      <c r="UZA93" s="456" t="s">
        <v>116</v>
      </c>
      <c r="UZB93" s="456" t="s">
        <v>116</v>
      </c>
      <c r="UZC93" s="456" t="s">
        <v>116</v>
      </c>
      <c r="UZD93" s="456" t="s">
        <v>116</v>
      </c>
      <c r="UZE93" s="456" t="s">
        <v>116</v>
      </c>
      <c r="UZF93" s="456" t="s">
        <v>116</v>
      </c>
      <c r="UZG93" s="456" t="s">
        <v>116</v>
      </c>
      <c r="UZH93" s="456" t="s">
        <v>116</v>
      </c>
      <c r="UZI93" s="456" t="s">
        <v>116</v>
      </c>
      <c r="UZJ93" s="456" t="s">
        <v>116</v>
      </c>
      <c r="UZK93" s="456" t="s">
        <v>116</v>
      </c>
      <c r="UZL93" s="456" t="s">
        <v>116</v>
      </c>
      <c r="UZM93" s="456" t="s">
        <v>116</v>
      </c>
      <c r="UZN93" s="456" t="s">
        <v>116</v>
      </c>
      <c r="UZO93" s="456" t="s">
        <v>116</v>
      </c>
      <c r="UZP93" s="456" t="s">
        <v>116</v>
      </c>
      <c r="UZQ93" s="456" t="s">
        <v>116</v>
      </c>
      <c r="UZR93" s="456" t="s">
        <v>116</v>
      </c>
      <c r="UZS93" s="456" t="s">
        <v>116</v>
      </c>
      <c r="UZT93" s="456" t="s">
        <v>116</v>
      </c>
      <c r="UZU93" s="456" t="s">
        <v>116</v>
      </c>
      <c r="UZV93" s="456" t="s">
        <v>116</v>
      </c>
      <c r="UZW93" s="456" t="s">
        <v>116</v>
      </c>
      <c r="UZX93" s="456" t="s">
        <v>116</v>
      </c>
      <c r="UZY93" s="456" t="s">
        <v>116</v>
      </c>
      <c r="UZZ93" s="456" t="s">
        <v>116</v>
      </c>
      <c r="VAA93" s="456" t="s">
        <v>116</v>
      </c>
      <c r="VAB93" s="456" t="s">
        <v>116</v>
      </c>
      <c r="VAC93" s="456" t="s">
        <v>116</v>
      </c>
      <c r="VAD93" s="456" t="s">
        <v>116</v>
      </c>
      <c r="VAE93" s="456" t="s">
        <v>116</v>
      </c>
      <c r="VAF93" s="456" t="s">
        <v>116</v>
      </c>
      <c r="VAG93" s="456" t="s">
        <v>116</v>
      </c>
      <c r="VAH93" s="456" t="s">
        <v>116</v>
      </c>
      <c r="VAI93" s="456" t="s">
        <v>116</v>
      </c>
      <c r="VAJ93" s="456" t="s">
        <v>116</v>
      </c>
      <c r="VAK93" s="456" t="s">
        <v>116</v>
      </c>
      <c r="VAL93" s="456" t="s">
        <v>116</v>
      </c>
      <c r="VAM93" s="456" t="s">
        <v>116</v>
      </c>
      <c r="VAN93" s="456" t="s">
        <v>116</v>
      </c>
      <c r="VAO93" s="456" t="s">
        <v>116</v>
      </c>
      <c r="VAP93" s="456" t="s">
        <v>116</v>
      </c>
      <c r="VAQ93" s="456" t="s">
        <v>116</v>
      </c>
      <c r="VAR93" s="456" t="s">
        <v>116</v>
      </c>
      <c r="VAS93" s="456" t="s">
        <v>116</v>
      </c>
      <c r="VAT93" s="456" t="s">
        <v>116</v>
      </c>
      <c r="VAU93" s="456" t="s">
        <v>116</v>
      </c>
      <c r="VAV93" s="456" t="s">
        <v>116</v>
      </c>
      <c r="VAW93" s="456" t="s">
        <v>116</v>
      </c>
      <c r="VAX93" s="456" t="s">
        <v>116</v>
      </c>
      <c r="VAY93" s="456" t="s">
        <v>116</v>
      </c>
      <c r="VAZ93" s="456" t="s">
        <v>116</v>
      </c>
      <c r="VBA93" s="456" t="s">
        <v>116</v>
      </c>
      <c r="VBB93" s="456" t="s">
        <v>116</v>
      </c>
      <c r="VBC93" s="456" t="s">
        <v>116</v>
      </c>
      <c r="VBD93" s="456" t="s">
        <v>116</v>
      </c>
      <c r="VBE93" s="456" t="s">
        <v>116</v>
      </c>
      <c r="VBF93" s="456" t="s">
        <v>116</v>
      </c>
      <c r="VBG93" s="456" t="s">
        <v>116</v>
      </c>
      <c r="VBH93" s="456" t="s">
        <v>116</v>
      </c>
      <c r="VBI93" s="456" t="s">
        <v>116</v>
      </c>
      <c r="VBJ93" s="456" t="s">
        <v>116</v>
      </c>
      <c r="VBK93" s="456" t="s">
        <v>116</v>
      </c>
      <c r="VBL93" s="456" t="s">
        <v>116</v>
      </c>
      <c r="VBM93" s="456" t="s">
        <v>116</v>
      </c>
      <c r="VBN93" s="456" t="s">
        <v>116</v>
      </c>
      <c r="VBO93" s="456" t="s">
        <v>116</v>
      </c>
      <c r="VBP93" s="456" t="s">
        <v>116</v>
      </c>
      <c r="VBQ93" s="456" t="s">
        <v>116</v>
      </c>
      <c r="VBR93" s="456" t="s">
        <v>116</v>
      </c>
      <c r="VBS93" s="456" t="s">
        <v>116</v>
      </c>
      <c r="VBT93" s="456" t="s">
        <v>116</v>
      </c>
      <c r="VBU93" s="456" t="s">
        <v>116</v>
      </c>
      <c r="VBV93" s="456" t="s">
        <v>116</v>
      </c>
      <c r="VBW93" s="456" t="s">
        <v>116</v>
      </c>
      <c r="VBX93" s="456" t="s">
        <v>116</v>
      </c>
      <c r="VBY93" s="456" t="s">
        <v>116</v>
      </c>
      <c r="VBZ93" s="456" t="s">
        <v>116</v>
      </c>
      <c r="VCA93" s="456" t="s">
        <v>116</v>
      </c>
      <c r="VCB93" s="456" t="s">
        <v>116</v>
      </c>
      <c r="VCC93" s="456" t="s">
        <v>116</v>
      </c>
      <c r="VCD93" s="456" t="s">
        <v>116</v>
      </c>
      <c r="VCE93" s="456" t="s">
        <v>116</v>
      </c>
      <c r="VCF93" s="456" t="s">
        <v>116</v>
      </c>
      <c r="VCG93" s="456" t="s">
        <v>116</v>
      </c>
      <c r="VCH93" s="456" t="s">
        <v>116</v>
      </c>
      <c r="VCI93" s="456" t="s">
        <v>116</v>
      </c>
      <c r="VCJ93" s="456" t="s">
        <v>116</v>
      </c>
      <c r="VCK93" s="456" t="s">
        <v>116</v>
      </c>
      <c r="VCL93" s="456" t="s">
        <v>116</v>
      </c>
      <c r="VCM93" s="456" t="s">
        <v>116</v>
      </c>
      <c r="VCN93" s="456" t="s">
        <v>116</v>
      </c>
      <c r="VCO93" s="456" t="s">
        <v>116</v>
      </c>
      <c r="VCP93" s="456" t="s">
        <v>116</v>
      </c>
      <c r="VCQ93" s="456" t="s">
        <v>116</v>
      </c>
      <c r="VCR93" s="456" t="s">
        <v>116</v>
      </c>
      <c r="VCS93" s="456" t="s">
        <v>116</v>
      </c>
      <c r="VCT93" s="456" t="s">
        <v>116</v>
      </c>
      <c r="VCU93" s="456" t="s">
        <v>116</v>
      </c>
      <c r="VCV93" s="456" t="s">
        <v>116</v>
      </c>
      <c r="VCW93" s="456" t="s">
        <v>116</v>
      </c>
      <c r="VCX93" s="456" t="s">
        <v>116</v>
      </c>
      <c r="VCY93" s="456" t="s">
        <v>116</v>
      </c>
      <c r="VCZ93" s="456" t="s">
        <v>116</v>
      </c>
      <c r="VDA93" s="456" t="s">
        <v>116</v>
      </c>
      <c r="VDB93" s="456" t="s">
        <v>116</v>
      </c>
      <c r="VDC93" s="456" t="s">
        <v>116</v>
      </c>
      <c r="VDD93" s="456" t="s">
        <v>116</v>
      </c>
      <c r="VDE93" s="456" t="s">
        <v>116</v>
      </c>
      <c r="VDF93" s="456" t="s">
        <v>116</v>
      </c>
      <c r="VDG93" s="456" t="s">
        <v>116</v>
      </c>
      <c r="VDH93" s="456" t="s">
        <v>116</v>
      </c>
      <c r="VDI93" s="456" t="s">
        <v>116</v>
      </c>
      <c r="VDJ93" s="456" t="s">
        <v>116</v>
      </c>
      <c r="VDK93" s="456" t="s">
        <v>116</v>
      </c>
      <c r="VDL93" s="456" t="s">
        <v>116</v>
      </c>
      <c r="VDM93" s="456" t="s">
        <v>116</v>
      </c>
      <c r="VDN93" s="456" t="s">
        <v>116</v>
      </c>
      <c r="VDO93" s="456" t="s">
        <v>116</v>
      </c>
      <c r="VDP93" s="456" t="s">
        <v>116</v>
      </c>
      <c r="VDQ93" s="456" t="s">
        <v>116</v>
      </c>
      <c r="VDR93" s="456" t="s">
        <v>116</v>
      </c>
      <c r="VDS93" s="456" t="s">
        <v>116</v>
      </c>
      <c r="VDT93" s="456" t="s">
        <v>116</v>
      </c>
      <c r="VDU93" s="456" t="s">
        <v>116</v>
      </c>
      <c r="VDV93" s="456" t="s">
        <v>116</v>
      </c>
      <c r="VDW93" s="456" t="s">
        <v>116</v>
      </c>
      <c r="VDX93" s="456" t="s">
        <v>116</v>
      </c>
      <c r="VDY93" s="456" t="s">
        <v>116</v>
      </c>
      <c r="VDZ93" s="456" t="s">
        <v>116</v>
      </c>
      <c r="VEA93" s="456" t="s">
        <v>116</v>
      </c>
      <c r="VEB93" s="456" t="s">
        <v>116</v>
      </c>
      <c r="VEC93" s="456" t="s">
        <v>116</v>
      </c>
      <c r="VED93" s="456" t="s">
        <v>116</v>
      </c>
      <c r="VEE93" s="456" t="s">
        <v>116</v>
      </c>
      <c r="VEF93" s="456" t="s">
        <v>116</v>
      </c>
      <c r="VEG93" s="456" t="s">
        <v>116</v>
      </c>
      <c r="VEH93" s="456" t="s">
        <v>116</v>
      </c>
      <c r="VEI93" s="456" t="s">
        <v>116</v>
      </c>
      <c r="VEJ93" s="456" t="s">
        <v>116</v>
      </c>
      <c r="VEK93" s="456" t="s">
        <v>116</v>
      </c>
      <c r="VEL93" s="456" t="s">
        <v>116</v>
      </c>
      <c r="VEM93" s="456" t="s">
        <v>116</v>
      </c>
      <c r="VEN93" s="456" t="s">
        <v>116</v>
      </c>
      <c r="VEO93" s="456" t="s">
        <v>116</v>
      </c>
      <c r="VEP93" s="456" t="s">
        <v>116</v>
      </c>
      <c r="VEQ93" s="456" t="s">
        <v>116</v>
      </c>
      <c r="VER93" s="456" t="s">
        <v>116</v>
      </c>
      <c r="VES93" s="456" t="s">
        <v>116</v>
      </c>
      <c r="VET93" s="456" t="s">
        <v>116</v>
      </c>
      <c r="VEU93" s="456" t="s">
        <v>116</v>
      </c>
      <c r="VEV93" s="456" t="s">
        <v>116</v>
      </c>
      <c r="VEW93" s="456" t="s">
        <v>116</v>
      </c>
      <c r="VEX93" s="456" t="s">
        <v>116</v>
      </c>
      <c r="VEY93" s="456" t="s">
        <v>116</v>
      </c>
      <c r="VEZ93" s="456" t="s">
        <v>116</v>
      </c>
      <c r="VFA93" s="456" t="s">
        <v>116</v>
      </c>
      <c r="VFB93" s="456" t="s">
        <v>116</v>
      </c>
      <c r="VFC93" s="456" t="s">
        <v>116</v>
      </c>
      <c r="VFD93" s="456" t="s">
        <v>116</v>
      </c>
      <c r="VFE93" s="456" t="s">
        <v>116</v>
      </c>
      <c r="VFF93" s="456" t="s">
        <v>116</v>
      </c>
      <c r="VFG93" s="456" t="s">
        <v>116</v>
      </c>
      <c r="VFH93" s="456" t="s">
        <v>116</v>
      </c>
      <c r="VFI93" s="456" t="s">
        <v>116</v>
      </c>
      <c r="VFJ93" s="456" t="s">
        <v>116</v>
      </c>
      <c r="VFK93" s="456" t="s">
        <v>116</v>
      </c>
      <c r="VFL93" s="456" t="s">
        <v>116</v>
      </c>
      <c r="VFM93" s="456" t="s">
        <v>116</v>
      </c>
      <c r="VFN93" s="456" t="s">
        <v>116</v>
      </c>
      <c r="VFO93" s="456" t="s">
        <v>116</v>
      </c>
      <c r="VFP93" s="456" t="s">
        <v>116</v>
      </c>
      <c r="VFQ93" s="456" t="s">
        <v>116</v>
      </c>
      <c r="VFR93" s="456" t="s">
        <v>116</v>
      </c>
      <c r="VFS93" s="456" t="s">
        <v>116</v>
      </c>
      <c r="VFT93" s="456" t="s">
        <v>116</v>
      </c>
      <c r="VFU93" s="456" t="s">
        <v>116</v>
      </c>
      <c r="VFV93" s="456" t="s">
        <v>116</v>
      </c>
      <c r="VFW93" s="456" t="s">
        <v>116</v>
      </c>
      <c r="VFX93" s="456" t="s">
        <v>116</v>
      </c>
      <c r="VFY93" s="456" t="s">
        <v>116</v>
      </c>
      <c r="VFZ93" s="456" t="s">
        <v>116</v>
      </c>
      <c r="VGA93" s="456" t="s">
        <v>116</v>
      </c>
      <c r="VGB93" s="456" t="s">
        <v>116</v>
      </c>
      <c r="VGC93" s="456" t="s">
        <v>116</v>
      </c>
      <c r="VGD93" s="456" t="s">
        <v>116</v>
      </c>
      <c r="VGE93" s="456" t="s">
        <v>116</v>
      </c>
      <c r="VGF93" s="456" t="s">
        <v>116</v>
      </c>
      <c r="VGG93" s="456" t="s">
        <v>116</v>
      </c>
      <c r="VGH93" s="456" t="s">
        <v>116</v>
      </c>
      <c r="VGI93" s="456" t="s">
        <v>116</v>
      </c>
      <c r="VGJ93" s="456" t="s">
        <v>116</v>
      </c>
      <c r="VGK93" s="456" t="s">
        <v>116</v>
      </c>
      <c r="VGL93" s="456" t="s">
        <v>116</v>
      </c>
      <c r="VGM93" s="456" t="s">
        <v>116</v>
      </c>
      <c r="VGN93" s="456" t="s">
        <v>116</v>
      </c>
      <c r="VGO93" s="456" t="s">
        <v>116</v>
      </c>
      <c r="VGP93" s="456" t="s">
        <v>116</v>
      </c>
      <c r="VGQ93" s="456" t="s">
        <v>116</v>
      </c>
      <c r="VGR93" s="456" t="s">
        <v>116</v>
      </c>
      <c r="VGS93" s="456" t="s">
        <v>116</v>
      </c>
      <c r="VGT93" s="456" t="s">
        <v>116</v>
      </c>
      <c r="VGU93" s="456" t="s">
        <v>116</v>
      </c>
      <c r="VGV93" s="456" t="s">
        <v>116</v>
      </c>
      <c r="VGW93" s="456" t="s">
        <v>116</v>
      </c>
      <c r="VGX93" s="456" t="s">
        <v>116</v>
      </c>
      <c r="VGY93" s="456" t="s">
        <v>116</v>
      </c>
      <c r="VGZ93" s="456" t="s">
        <v>116</v>
      </c>
      <c r="VHA93" s="456" t="s">
        <v>116</v>
      </c>
      <c r="VHB93" s="456" t="s">
        <v>116</v>
      </c>
      <c r="VHC93" s="456" t="s">
        <v>116</v>
      </c>
      <c r="VHD93" s="456" t="s">
        <v>116</v>
      </c>
      <c r="VHE93" s="456" t="s">
        <v>116</v>
      </c>
      <c r="VHF93" s="456" t="s">
        <v>116</v>
      </c>
      <c r="VHG93" s="456" t="s">
        <v>116</v>
      </c>
      <c r="VHH93" s="456" t="s">
        <v>116</v>
      </c>
      <c r="VHI93" s="456" t="s">
        <v>116</v>
      </c>
      <c r="VHJ93" s="456" t="s">
        <v>116</v>
      </c>
      <c r="VHK93" s="456" t="s">
        <v>116</v>
      </c>
      <c r="VHL93" s="456" t="s">
        <v>116</v>
      </c>
      <c r="VHM93" s="456" t="s">
        <v>116</v>
      </c>
      <c r="VHN93" s="456" t="s">
        <v>116</v>
      </c>
      <c r="VHO93" s="456" t="s">
        <v>116</v>
      </c>
      <c r="VHP93" s="456" t="s">
        <v>116</v>
      </c>
      <c r="VHQ93" s="456" t="s">
        <v>116</v>
      </c>
      <c r="VHR93" s="456" t="s">
        <v>116</v>
      </c>
      <c r="VHS93" s="456" t="s">
        <v>116</v>
      </c>
      <c r="VHT93" s="456" t="s">
        <v>116</v>
      </c>
      <c r="VHU93" s="456" t="s">
        <v>116</v>
      </c>
      <c r="VHV93" s="456" t="s">
        <v>116</v>
      </c>
      <c r="VHW93" s="456" t="s">
        <v>116</v>
      </c>
      <c r="VHX93" s="456" t="s">
        <v>116</v>
      </c>
      <c r="VHY93" s="456" t="s">
        <v>116</v>
      </c>
      <c r="VHZ93" s="456" t="s">
        <v>116</v>
      </c>
      <c r="VIA93" s="456" t="s">
        <v>116</v>
      </c>
      <c r="VIB93" s="456" t="s">
        <v>116</v>
      </c>
      <c r="VIC93" s="456" t="s">
        <v>116</v>
      </c>
      <c r="VID93" s="456" t="s">
        <v>116</v>
      </c>
      <c r="VIE93" s="456" t="s">
        <v>116</v>
      </c>
      <c r="VIF93" s="456" t="s">
        <v>116</v>
      </c>
      <c r="VIG93" s="456" t="s">
        <v>116</v>
      </c>
      <c r="VIH93" s="456" t="s">
        <v>116</v>
      </c>
      <c r="VII93" s="456" t="s">
        <v>116</v>
      </c>
      <c r="VIJ93" s="456" t="s">
        <v>116</v>
      </c>
      <c r="VIK93" s="456" t="s">
        <v>116</v>
      </c>
      <c r="VIL93" s="456" t="s">
        <v>116</v>
      </c>
      <c r="VIM93" s="456" t="s">
        <v>116</v>
      </c>
      <c r="VIN93" s="456" t="s">
        <v>116</v>
      </c>
      <c r="VIO93" s="456" t="s">
        <v>116</v>
      </c>
      <c r="VIP93" s="456" t="s">
        <v>116</v>
      </c>
      <c r="VIQ93" s="456" t="s">
        <v>116</v>
      </c>
      <c r="VIR93" s="456" t="s">
        <v>116</v>
      </c>
      <c r="VIS93" s="456" t="s">
        <v>116</v>
      </c>
      <c r="VIT93" s="456" t="s">
        <v>116</v>
      </c>
      <c r="VIU93" s="456" t="s">
        <v>116</v>
      </c>
      <c r="VIV93" s="456" t="s">
        <v>116</v>
      </c>
      <c r="VIW93" s="456" t="s">
        <v>116</v>
      </c>
      <c r="VIX93" s="456" t="s">
        <v>116</v>
      </c>
      <c r="VIY93" s="456" t="s">
        <v>116</v>
      </c>
      <c r="VIZ93" s="456" t="s">
        <v>116</v>
      </c>
      <c r="VJA93" s="456" t="s">
        <v>116</v>
      </c>
      <c r="VJB93" s="456" t="s">
        <v>116</v>
      </c>
      <c r="VJC93" s="456" t="s">
        <v>116</v>
      </c>
      <c r="VJD93" s="456" t="s">
        <v>116</v>
      </c>
      <c r="VJE93" s="456" t="s">
        <v>116</v>
      </c>
      <c r="VJF93" s="456" t="s">
        <v>116</v>
      </c>
      <c r="VJG93" s="456" t="s">
        <v>116</v>
      </c>
      <c r="VJH93" s="456" t="s">
        <v>116</v>
      </c>
      <c r="VJI93" s="456" t="s">
        <v>116</v>
      </c>
      <c r="VJJ93" s="456" t="s">
        <v>116</v>
      </c>
      <c r="VJK93" s="456" t="s">
        <v>116</v>
      </c>
      <c r="VJL93" s="456" t="s">
        <v>116</v>
      </c>
      <c r="VJM93" s="456" t="s">
        <v>116</v>
      </c>
      <c r="VJN93" s="456" t="s">
        <v>116</v>
      </c>
      <c r="VJO93" s="456" t="s">
        <v>116</v>
      </c>
      <c r="VJP93" s="456" t="s">
        <v>116</v>
      </c>
      <c r="VJQ93" s="456" t="s">
        <v>116</v>
      </c>
      <c r="VJR93" s="456" t="s">
        <v>116</v>
      </c>
      <c r="VJS93" s="456" t="s">
        <v>116</v>
      </c>
      <c r="VJT93" s="456" t="s">
        <v>116</v>
      </c>
      <c r="VJU93" s="456" t="s">
        <v>116</v>
      </c>
      <c r="VJV93" s="456" t="s">
        <v>116</v>
      </c>
      <c r="VJW93" s="456" t="s">
        <v>116</v>
      </c>
      <c r="VJX93" s="456" t="s">
        <v>116</v>
      </c>
      <c r="VJY93" s="456" t="s">
        <v>116</v>
      </c>
      <c r="VJZ93" s="456" t="s">
        <v>116</v>
      </c>
      <c r="VKA93" s="456" t="s">
        <v>116</v>
      </c>
      <c r="VKB93" s="456" t="s">
        <v>116</v>
      </c>
      <c r="VKC93" s="456" t="s">
        <v>116</v>
      </c>
      <c r="VKD93" s="456" t="s">
        <v>116</v>
      </c>
      <c r="VKE93" s="456" t="s">
        <v>116</v>
      </c>
      <c r="VKF93" s="456" t="s">
        <v>116</v>
      </c>
      <c r="VKG93" s="456" t="s">
        <v>116</v>
      </c>
      <c r="VKH93" s="456" t="s">
        <v>116</v>
      </c>
      <c r="VKI93" s="456" t="s">
        <v>116</v>
      </c>
      <c r="VKJ93" s="456" t="s">
        <v>116</v>
      </c>
      <c r="VKK93" s="456" t="s">
        <v>116</v>
      </c>
      <c r="VKL93" s="456" t="s">
        <v>116</v>
      </c>
      <c r="VKM93" s="456" t="s">
        <v>116</v>
      </c>
      <c r="VKN93" s="456" t="s">
        <v>116</v>
      </c>
      <c r="VKO93" s="456" t="s">
        <v>116</v>
      </c>
      <c r="VKP93" s="456" t="s">
        <v>116</v>
      </c>
      <c r="VKQ93" s="456" t="s">
        <v>116</v>
      </c>
      <c r="VKR93" s="456" t="s">
        <v>116</v>
      </c>
      <c r="VKS93" s="456" t="s">
        <v>116</v>
      </c>
      <c r="VKT93" s="456" t="s">
        <v>116</v>
      </c>
      <c r="VKU93" s="456" t="s">
        <v>116</v>
      </c>
      <c r="VKV93" s="456" t="s">
        <v>116</v>
      </c>
      <c r="VKW93" s="456" t="s">
        <v>116</v>
      </c>
      <c r="VKX93" s="456" t="s">
        <v>116</v>
      </c>
      <c r="VKY93" s="456" t="s">
        <v>116</v>
      </c>
      <c r="VKZ93" s="456" t="s">
        <v>116</v>
      </c>
      <c r="VLA93" s="456" t="s">
        <v>116</v>
      </c>
      <c r="VLB93" s="456" t="s">
        <v>116</v>
      </c>
      <c r="VLC93" s="456" t="s">
        <v>116</v>
      </c>
      <c r="VLD93" s="456" t="s">
        <v>116</v>
      </c>
      <c r="VLE93" s="456" t="s">
        <v>116</v>
      </c>
      <c r="VLF93" s="456" t="s">
        <v>116</v>
      </c>
      <c r="VLG93" s="456" t="s">
        <v>116</v>
      </c>
      <c r="VLH93" s="456" t="s">
        <v>116</v>
      </c>
      <c r="VLI93" s="456" t="s">
        <v>116</v>
      </c>
      <c r="VLJ93" s="456" t="s">
        <v>116</v>
      </c>
      <c r="VLK93" s="456" t="s">
        <v>116</v>
      </c>
      <c r="VLL93" s="456" t="s">
        <v>116</v>
      </c>
      <c r="VLM93" s="456" t="s">
        <v>116</v>
      </c>
      <c r="VLN93" s="456" t="s">
        <v>116</v>
      </c>
      <c r="VLO93" s="456" t="s">
        <v>116</v>
      </c>
      <c r="VLP93" s="456" t="s">
        <v>116</v>
      </c>
      <c r="VLQ93" s="456" t="s">
        <v>116</v>
      </c>
      <c r="VLR93" s="456" t="s">
        <v>116</v>
      </c>
      <c r="VLS93" s="456" t="s">
        <v>116</v>
      </c>
      <c r="VLT93" s="456" t="s">
        <v>116</v>
      </c>
      <c r="VLU93" s="456" t="s">
        <v>116</v>
      </c>
      <c r="VLV93" s="456" t="s">
        <v>116</v>
      </c>
      <c r="VLW93" s="456" t="s">
        <v>116</v>
      </c>
      <c r="VLX93" s="456" t="s">
        <v>116</v>
      </c>
      <c r="VLY93" s="456" t="s">
        <v>116</v>
      </c>
      <c r="VLZ93" s="456" t="s">
        <v>116</v>
      </c>
      <c r="VMA93" s="456" t="s">
        <v>116</v>
      </c>
      <c r="VMB93" s="456" t="s">
        <v>116</v>
      </c>
      <c r="VMC93" s="456" t="s">
        <v>116</v>
      </c>
      <c r="VMD93" s="456" t="s">
        <v>116</v>
      </c>
      <c r="VME93" s="456" t="s">
        <v>116</v>
      </c>
      <c r="VMF93" s="456" t="s">
        <v>116</v>
      </c>
      <c r="VMG93" s="456" t="s">
        <v>116</v>
      </c>
      <c r="VMH93" s="456" t="s">
        <v>116</v>
      </c>
      <c r="VMI93" s="456" t="s">
        <v>116</v>
      </c>
      <c r="VMJ93" s="456" t="s">
        <v>116</v>
      </c>
      <c r="VMK93" s="456" t="s">
        <v>116</v>
      </c>
      <c r="VML93" s="456" t="s">
        <v>116</v>
      </c>
      <c r="VMM93" s="456" t="s">
        <v>116</v>
      </c>
      <c r="VMN93" s="456" t="s">
        <v>116</v>
      </c>
      <c r="VMO93" s="456" t="s">
        <v>116</v>
      </c>
      <c r="VMP93" s="456" t="s">
        <v>116</v>
      </c>
      <c r="VMQ93" s="456" t="s">
        <v>116</v>
      </c>
      <c r="VMR93" s="456" t="s">
        <v>116</v>
      </c>
      <c r="VMS93" s="456" t="s">
        <v>116</v>
      </c>
      <c r="VMT93" s="456" t="s">
        <v>116</v>
      </c>
      <c r="VMU93" s="456" t="s">
        <v>116</v>
      </c>
      <c r="VMV93" s="456" t="s">
        <v>116</v>
      </c>
      <c r="VMW93" s="456" t="s">
        <v>116</v>
      </c>
      <c r="VMX93" s="456" t="s">
        <v>116</v>
      </c>
      <c r="VMY93" s="456" t="s">
        <v>116</v>
      </c>
      <c r="VMZ93" s="456" t="s">
        <v>116</v>
      </c>
      <c r="VNA93" s="456" t="s">
        <v>116</v>
      </c>
      <c r="VNB93" s="456" t="s">
        <v>116</v>
      </c>
      <c r="VNC93" s="456" t="s">
        <v>116</v>
      </c>
      <c r="VND93" s="456" t="s">
        <v>116</v>
      </c>
      <c r="VNE93" s="456" t="s">
        <v>116</v>
      </c>
      <c r="VNF93" s="456" t="s">
        <v>116</v>
      </c>
      <c r="VNG93" s="456" t="s">
        <v>116</v>
      </c>
      <c r="VNH93" s="456" t="s">
        <v>116</v>
      </c>
      <c r="VNI93" s="456" t="s">
        <v>116</v>
      </c>
      <c r="VNJ93" s="456" t="s">
        <v>116</v>
      </c>
      <c r="VNK93" s="456" t="s">
        <v>116</v>
      </c>
      <c r="VNL93" s="456" t="s">
        <v>116</v>
      </c>
      <c r="VNM93" s="456" t="s">
        <v>116</v>
      </c>
      <c r="VNN93" s="456" t="s">
        <v>116</v>
      </c>
      <c r="VNO93" s="456" t="s">
        <v>116</v>
      </c>
      <c r="VNP93" s="456" t="s">
        <v>116</v>
      </c>
      <c r="VNQ93" s="456" t="s">
        <v>116</v>
      </c>
      <c r="VNR93" s="456" t="s">
        <v>116</v>
      </c>
      <c r="VNS93" s="456" t="s">
        <v>116</v>
      </c>
      <c r="VNT93" s="456" t="s">
        <v>116</v>
      </c>
      <c r="VNU93" s="456" t="s">
        <v>116</v>
      </c>
      <c r="VNV93" s="456" t="s">
        <v>116</v>
      </c>
      <c r="VNW93" s="456" t="s">
        <v>116</v>
      </c>
      <c r="VNX93" s="456" t="s">
        <v>116</v>
      </c>
      <c r="VNY93" s="456" t="s">
        <v>116</v>
      </c>
      <c r="VNZ93" s="456" t="s">
        <v>116</v>
      </c>
      <c r="VOA93" s="456" t="s">
        <v>116</v>
      </c>
      <c r="VOB93" s="456" t="s">
        <v>116</v>
      </c>
      <c r="VOC93" s="456" t="s">
        <v>116</v>
      </c>
      <c r="VOD93" s="456" t="s">
        <v>116</v>
      </c>
      <c r="VOE93" s="456" t="s">
        <v>116</v>
      </c>
      <c r="VOF93" s="456" t="s">
        <v>116</v>
      </c>
      <c r="VOG93" s="456" t="s">
        <v>116</v>
      </c>
      <c r="VOH93" s="456" t="s">
        <v>116</v>
      </c>
      <c r="VOI93" s="456" t="s">
        <v>116</v>
      </c>
      <c r="VOJ93" s="456" t="s">
        <v>116</v>
      </c>
      <c r="VOK93" s="456" t="s">
        <v>116</v>
      </c>
      <c r="VOL93" s="456" t="s">
        <v>116</v>
      </c>
      <c r="VOM93" s="456" t="s">
        <v>116</v>
      </c>
      <c r="VON93" s="456" t="s">
        <v>116</v>
      </c>
      <c r="VOO93" s="456" t="s">
        <v>116</v>
      </c>
      <c r="VOP93" s="456" t="s">
        <v>116</v>
      </c>
      <c r="VOQ93" s="456" t="s">
        <v>116</v>
      </c>
      <c r="VOR93" s="456" t="s">
        <v>116</v>
      </c>
      <c r="VOS93" s="456" t="s">
        <v>116</v>
      </c>
      <c r="VOT93" s="456" t="s">
        <v>116</v>
      </c>
      <c r="VOU93" s="456" t="s">
        <v>116</v>
      </c>
      <c r="VOV93" s="456" t="s">
        <v>116</v>
      </c>
      <c r="VOW93" s="456" t="s">
        <v>116</v>
      </c>
      <c r="VOX93" s="456" t="s">
        <v>116</v>
      </c>
      <c r="VOY93" s="456" t="s">
        <v>116</v>
      </c>
      <c r="VOZ93" s="456" t="s">
        <v>116</v>
      </c>
      <c r="VPA93" s="456" t="s">
        <v>116</v>
      </c>
      <c r="VPB93" s="456" t="s">
        <v>116</v>
      </c>
      <c r="VPC93" s="456" t="s">
        <v>116</v>
      </c>
      <c r="VPD93" s="456" t="s">
        <v>116</v>
      </c>
      <c r="VPE93" s="456" t="s">
        <v>116</v>
      </c>
      <c r="VPF93" s="456" t="s">
        <v>116</v>
      </c>
      <c r="VPG93" s="456" t="s">
        <v>116</v>
      </c>
      <c r="VPH93" s="456" t="s">
        <v>116</v>
      </c>
      <c r="VPI93" s="456" t="s">
        <v>116</v>
      </c>
      <c r="VPJ93" s="456" t="s">
        <v>116</v>
      </c>
      <c r="VPK93" s="456" t="s">
        <v>116</v>
      </c>
      <c r="VPL93" s="456" t="s">
        <v>116</v>
      </c>
      <c r="VPM93" s="456" t="s">
        <v>116</v>
      </c>
      <c r="VPN93" s="456" t="s">
        <v>116</v>
      </c>
      <c r="VPO93" s="456" t="s">
        <v>116</v>
      </c>
      <c r="VPP93" s="456" t="s">
        <v>116</v>
      </c>
      <c r="VPQ93" s="456" t="s">
        <v>116</v>
      </c>
      <c r="VPR93" s="456" t="s">
        <v>116</v>
      </c>
      <c r="VPS93" s="456" t="s">
        <v>116</v>
      </c>
      <c r="VPT93" s="456" t="s">
        <v>116</v>
      </c>
      <c r="VPU93" s="456" t="s">
        <v>116</v>
      </c>
      <c r="VPV93" s="456" t="s">
        <v>116</v>
      </c>
      <c r="VPW93" s="456" t="s">
        <v>116</v>
      </c>
      <c r="VPX93" s="456" t="s">
        <v>116</v>
      </c>
      <c r="VPY93" s="456" t="s">
        <v>116</v>
      </c>
      <c r="VPZ93" s="456" t="s">
        <v>116</v>
      </c>
      <c r="VQA93" s="456" t="s">
        <v>116</v>
      </c>
      <c r="VQB93" s="456" t="s">
        <v>116</v>
      </c>
      <c r="VQC93" s="456" t="s">
        <v>116</v>
      </c>
      <c r="VQD93" s="456" t="s">
        <v>116</v>
      </c>
      <c r="VQE93" s="456" t="s">
        <v>116</v>
      </c>
      <c r="VQF93" s="456" t="s">
        <v>116</v>
      </c>
      <c r="VQG93" s="456" t="s">
        <v>116</v>
      </c>
      <c r="VQH93" s="456" t="s">
        <v>116</v>
      </c>
      <c r="VQI93" s="456" t="s">
        <v>116</v>
      </c>
      <c r="VQJ93" s="456" t="s">
        <v>116</v>
      </c>
      <c r="VQK93" s="456" t="s">
        <v>116</v>
      </c>
      <c r="VQL93" s="456" t="s">
        <v>116</v>
      </c>
      <c r="VQM93" s="456" t="s">
        <v>116</v>
      </c>
      <c r="VQN93" s="456" t="s">
        <v>116</v>
      </c>
      <c r="VQO93" s="456" t="s">
        <v>116</v>
      </c>
      <c r="VQP93" s="456" t="s">
        <v>116</v>
      </c>
      <c r="VQQ93" s="456" t="s">
        <v>116</v>
      </c>
      <c r="VQR93" s="456" t="s">
        <v>116</v>
      </c>
      <c r="VQS93" s="456" t="s">
        <v>116</v>
      </c>
      <c r="VQT93" s="456" t="s">
        <v>116</v>
      </c>
      <c r="VQU93" s="456" t="s">
        <v>116</v>
      </c>
      <c r="VQV93" s="456" t="s">
        <v>116</v>
      </c>
      <c r="VQW93" s="456" t="s">
        <v>116</v>
      </c>
      <c r="VQX93" s="456" t="s">
        <v>116</v>
      </c>
      <c r="VQY93" s="456" t="s">
        <v>116</v>
      </c>
      <c r="VQZ93" s="456" t="s">
        <v>116</v>
      </c>
      <c r="VRA93" s="456" t="s">
        <v>116</v>
      </c>
      <c r="VRB93" s="456" t="s">
        <v>116</v>
      </c>
      <c r="VRC93" s="456" t="s">
        <v>116</v>
      </c>
      <c r="VRD93" s="456" t="s">
        <v>116</v>
      </c>
      <c r="VRE93" s="456" t="s">
        <v>116</v>
      </c>
      <c r="VRF93" s="456" t="s">
        <v>116</v>
      </c>
      <c r="VRG93" s="456" t="s">
        <v>116</v>
      </c>
      <c r="VRH93" s="456" t="s">
        <v>116</v>
      </c>
      <c r="VRI93" s="456" t="s">
        <v>116</v>
      </c>
      <c r="VRJ93" s="456" t="s">
        <v>116</v>
      </c>
      <c r="VRK93" s="456" t="s">
        <v>116</v>
      </c>
      <c r="VRL93" s="456" t="s">
        <v>116</v>
      </c>
      <c r="VRM93" s="456" t="s">
        <v>116</v>
      </c>
      <c r="VRN93" s="456" t="s">
        <v>116</v>
      </c>
      <c r="VRO93" s="456" t="s">
        <v>116</v>
      </c>
      <c r="VRP93" s="456" t="s">
        <v>116</v>
      </c>
      <c r="VRQ93" s="456" t="s">
        <v>116</v>
      </c>
      <c r="VRR93" s="456" t="s">
        <v>116</v>
      </c>
      <c r="VRS93" s="456" t="s">
        <v>116</v>
      </c>
      <c r="VRT93" s="456" t="s">
        <v>116</v>
      </c>
      <c r="VRU93" s="456" t="s">
        <v>116</v>
      </c>
      <c r="VRV93" s="456" t="s">
        <v>116</v>
      </c>
      <c r="VRW93" s="456" t="s">
        <v>116</v>
      </c>
      <c r="VRX93" s="456" t="s">
        <v>116</v>
      </c>
      <c r="VRY93" s="456" t="s">
        <v>116</v>
      </c>
      <c r="VRZ93" s="456" t="s">
        <v>116</v>
      </c>
      <c r="VSA93" s="456" t="s">
        <v>116</v>
      </c>
      <c r="VSB93" s="456" t="s">
        <v>116</v>
      </c>
      <c r="VSC93" s="456" t="s">
        <v>116</v>
      </c>
      <c r="VSD93" s="456" t="s">
        <v>116</v>
      </c>
      <c r="VSE93" s="456" t="s">
        <v>116</v>
      </c>
      <c r="VSF93" s="456" t="s">
        <v>116</v>
      </c>
      <c r="VSG93" s="456" t="s">
        <v>116</v>
      </c>
      <c r="VSH93" s="456" t="s">
        <v>116</v>
      </c>
      <c r="VSI93" s="456" t="s">
        <v>116</v>
      </c>
      <c r="VSJ93" s="456" t="s">
        <v>116</v>
      </c>
      <c r="VSK93" s="456" t="s">
        <v>116</v>
      </c>
      <c r="VSL93" s="456" t="s">
        <v>116</v>
      </c>
      <c r="VSM93" s="456" t="s">
        <v>116</v>
      </c>
      <c r="VSN93" s="456" t="s">
        <v>116</v>
      </c>
      <c r="VSO93" s="456" t="s">
        <v>116</v>
      </c>
      <c r="VSP93" s="456" t="s">
        <v>116</v>
      </c>
      <c r="VSQ93" s="456" t="s">
        <v>116</v>
      </c>
      <c r="VSR93" s="456" t="s">
        <v>116</v>
      </c>
      <c r="VSS93" s="456" t="s">
        <v>116</v>
      </c>
      <c r="VST93" s="456" t="s">
        <v>116</v>
      </c>
      <c r="VSU93" s="456" t="s">
        <v>116</v>
      </c>
      <c r="VSV93" s="456" t="s">
        <v>116</v>
      </c>
      <c r="VSW93" s="456" t="s">
        <v>116</v>
      </c>
      <c r="VSX93" s="456" t="s">
        <v>116</v>
      </c>
      <c r="VSY93" s="456" t="s">
        <v>116</v>
      </c>
      <c r="VSZ93" s="456" t="s">
        <v>116</v>
      </c>
      <c r="VTA93" s="456" t="s">
        <v>116</v>
      </c>
      <c r="VTB93" s="456" t="s">
        <v>116</v>
      </c>
      <c r="VTC93" s="456" t="s">
        <v>116</v>
      </c>
      <c r="VTD93" s="456" t="s">
        <v>116</v>
      </c>
      <c r="VTE93" s="456" t="s">
        <v>116</v>
      </c>
      <c r="VTF93" s="456" t="s">
        <v>116</v>
      </c>
      <c r="VTG93" s="456" t="s">
        <v>116</v>
      </c>
      <c r="VTH93" s="456" t="s">
        <v>116</v>
      </c>
      <c r="VTI93" s="456" t="s">
        <v>116</v>
      </c>
      <c r="VTJ93" s="456" t="s">
        <v>116</v>
      </c>
      <c r="VTK93" s="456" t="s">
        <v>116</v>
      </c>
      <c r="VTL93" s="456" t="s">
        <v>116</v>
      </c>
      <c r="VTM93" s="456" t="s">
        <v>116</v>
      </c>
      <c r="VTN93" s="456" t="s">
        <v>116</v>
      </c>
      <c r="VTO93" s="456" t="s">
        <v>116</v>
      </c>
      <c r="VTP93" s="456" t="s">
        <v>116</v>
      </c>
      <c r="VTQ93" s="456" t="s">
        <v>116</v>
      </c>
      <c r="VTR93" s="456" t="s">
        <v>116</v>
      </c>
      <c r="VTS93" s="456" t="s">
        <v>116</v>
      </c>
      <c r="VTT93" s="456" t="s">
        <v>116</v>
      </c>
      <c r="VTU93" s="456" t="s">
        <v>116</v>
      </c>
      <c r="VTV93" s="456" t="s">
        <v>116</v>
      </c>
      <c r="VTW93" s="456" t="s">
        <v>116</v>
      </c>
      <c r="VTX93" s="456" t="s">
        <v>116</v>
      </c>
      <c r="VTY93" s="456" t="s">
        <v>116</v>
      </c>
      <c r="VTZ93" s="456" t="s">
        <v>116</v>
      </c>
      <c r="VUA93" s="456" t="s">
        <v>116</v>
      </c>
      <c r="VUB93" s="456" t="s">
        <v>116</v>
      </c>
      <c r="VUC93" s="456" t="s">
        <v>116</v>
      </c>
      <c r="VUD93" s="456" t="s">
        <v>116</v>
      </c>
      <c r="VUE93" s="456" t="s">
        <v>116</v>
      </c>
      <c r="VUF93" s="456" t="s">
        <v>116</v>
      </c>
      <c r="VUG93" s="456" t="s">
        <v>116</v>
      </c>
      <c r="VUH93" s="456" t="s">
        <v>116</v>
      </c>
      <c r="VUI93" s="456" t="s">
        <v>116</v>
      </c>
      <c r="VUJ93" s="456" t="s">
        <v>116</v>
      </c>
      <c r="VUK93" s="456" t="s">
        <v>116</v>
      </c>
      <c r="VUL93" s="456" t="s">
        <v>116</v>
      </c>
      <c r="VUM93" s="456" t="s">
        <v>116</v>
      </c>
      <c r="VUN93" s="456" t="s">
        <v>116</v>
      </c>
      <c r="VUO93" s="456" t="s">
        <v>116</v>
      </c>
      <c r="VUP93" s="456" t="s">
        <v>116</v>
      </c>
      <c r="VUQ93" s="456" t="s">
        <v>116</v>
      </c>
      <c r="VUR93" s="456" t="s">
        <v>116</v>
      </c>
      <c r="VUS93" s="456" t="s">
        <v>116</v>
      </c>
      <c r="VUT93" s="456" t="s">
        <v>116</v>
      </c>
      <c r="VUU93" s="456" t="s">
        <v>116</v>
      </c>
      <c r="VUV93" s="456" t="s">
        <v>116</v>
      </c>
      <c r="VUW93" s="456" t="s">
        <v>116</v>
      </c>
      <c r="VUX93" s="456" t="s">
        <v>116</v>
      </c>
      <c r="VUY93" s="456" t="s">
        <v>116</v>
      </c>
      <c r="VUZ93" s="456" t="s">
        <v>116</v>
      </c>
      <c r="VVA93" s="456" t="s">
        <v>116</v>
      </c>
      <c r="VVB93" s="456" t="s">
        <v>116</v>
      </c>
      <c r="VVC93" s="456" t="s">
        <v>116</v>
      </c>
      <c r="VVD93" s="456" t="s">
        <v>116</v>
      </c>
      <c r="VVE93" s="456" t="s">
        <v>116</v>
      </c>
      <c r="VVF93" s="456" t="s">
        <v>116</v>
      </c>
      <c r="VVG93" s="456" t="s">
        <v>116</v>
      </c>
      <c r="VVH93" s="456" t="s">
        <v>116</v>
      </c>
      <c r="VVI93" s="456" t="s">
        <v>116</v>
      </c>
      <c r="VVJ93" s="456" t="s">
        <v>116</v>
      </c>
      <c r="VVK93" s="456" t="s">
        <v>116</v>
      </c>
      <c r="VVL93" s="456" t="s">
        <v>116</v>
      </c>
      <c r="VVM93" s="456" t="s">
        <v>116</v>
      </c>
      <c r="VVN93" s="456" t="s">
        <v>116</v>
      </c>
      <c r="VVO93" s="456" t="s">
        <v>116</v>
      </c>
      <c r="VVP93" s="456" t="s">
        <v>116</v>
      </c>
      <c r="VVQ93" s="456" t="s">
        <v>116</v>
      </c>
      <c r="VVR93" s="456" t="s">
        <v>116</v>
      </c>
      <c r="VVS93" s="456" t="s">
        <v>116</v>
      </c>
      <c r="VVT93" s="456" t="s">
        <v>116</v>
      </c>
      <c r="VVU93" s="456" t="s">
        <v>116</v>
      </c>
      <c r="VVV93" s="456" t="s">
        <v>116</v>
      </c>
      <c r="VVW93" s="456" t="s">
        <v>116</v>
      </c>
      <c r="VVX93" s="456" t="s">
        <v>116</v>
      </c>
      <c r="VVY93" s="456" t="s">
        <v>116</v>
      </c>
      <c r="VVZ93" s="456" t="s">
        <v>116</v>
      </c>
      <c r="VWA93" s="456" t="s">
        <v>116</v>
      </c>
      <c r="VWB93" s="456" t="s">
        <v>116</v>
      </c>
      <c r="VWC93" s="456" t="s">
        <v>116</v>
      </c>
      <c r="VWD93" s="456" t="s">
        <v>116</v>
      </c>
      <c r="VWE93" s="456" t="s">
        <v>116</v>
      </c>
      <c r="VWF93" s="456" t="s">
        <v>116</v>
      </c>
      <c r="VWG93" s="456" t="s">
        <v>116</v>
      </c>
      <c r="VWH93" s="456" t="s">
        <v>116</v>
      </c>
      <c r="VWI93" s="456" t="s">
        <v>116</v>
      </c>
      <c r="VWJ93" s="456" t="s">
        <v>116</v>
      </c>
      <c r="VWK93" s="456" t="s">
        <v>116</v>
      </c>
      <c r="VWL93" s="456" t="s">
        <v>116</v>
      </c>
      <c r="VWM93" s="456" t="s">
        <v>116</v>
      </c>
      <c r="VWN93" s="456" t="s">
        <v>116</v>
      </c>
      <c r="VWO93" s="456" t="s">
        <v>116</v>
      </c>
      <c r="VWP93" s="456" t="s">
        <v>116</v>
      </c>
      <c r="VWQ93" s="456" t="s">
        <v>116</v>
      </c>
      <c r="VWR93" s="456" t="s">
        <v>116</v>
      </c>
      <c r="VWS93" s="456" t="s">
        <v>116</v>
      </c>
      <c r="VWT93" s="456" t="s">
        <v>116</v>
      </c>
      <c r="VWU93" s="456" t="s">
        <v>116</v>
      </c>
      <c r="VWV93" s="456" t="s">
        <v>116</v>
      </c>
      <c r="VWW93" s="456" t="s">
        <v>116</v>
      </c>
      <c r="VWX93" s="456" t="s">
        <v>116</v>
      </c>
      <c r="VWY93" s="456" t="s">
        <v>116</v>
      </c>
      <c r="VWZ93" s="456" t="s">
        <v>116</v>
      </c>
      <c r="VXA93" s="456" t="s">
        <v>116</v>
      </c>
      <c r="VXB93" s="456" t="s">
        <v>116</v>
      </c>
      <c r="VXC93" s="456" t="s">
        <v>116</v>
      </c>
      <c r="VXD93" s="456" t="s">
        <v>116</v>
      </c>
      <c r="VXE93" s="456" t="s">
        <v>116</v>
      </c>
      <c r="VXF93" s="456" t="s">
        <v>116</v>
      </c>
      <c r="VXG93" s="456" t="s">
        <v>116</v>
      </c>
      <c r="VXH93" s="456" t="s">
        <v>116</v>
      </c>
      <c r="VXI93" s="456" t="s">
        <v>116</v>
      </c>
      <c r="VXJ93" s="456" t="s">
        <v>116</v>
      </c>
      <c r="VXK93" s="456" t="s">
        <v>116</v>
      </c>
      <c r="VXL93" s="456" t="s">
        <v>116</v>
      </c>
      <c r="VXM93" s="456" t="s">
        <v>116</v>
      </c>
      <c r="VXN93" s="456" t="s">
        <v>116</v>
      </c>
      <c r="VXO93" s="456" t="s">
        <v>116</v>
      </c>
      <c r="VXP93" s="456" t="s">
        <v>116</v>
      </c>
      <c r="VXQ93" s="456" t="s">
        <v>116</v>
      </c>
      <c r="VXR93" s="456" t="s">
        <v>116</v>
      </c>
      <c r="VXS93" s="456" t="s">
        <v>116</v>
      </c>
      <c r="VXT93" s="456" t="s">
        <v>116</v>
      </c>
      <c r="VXU93" s="456" t="s">
        <v>116</v>
      </c>
      <c r="VXV93" s="456" t="s">
        <v>116</v>
      </c>
      <c r="VXW93" s="456" t="s">
        <v>116</v>
      </c>
      <c r="VXX93" s="456" t="s">
        <v>116</v>
      </c>
      <c r="VXY93" s="456" t="s">
        <v>116</v>
      </c>
      <c r="VXZ93" s="456" t="s">
        <v>116</v>
      </c>
      <c r="VYA93" s="456" t="s">
        <v>116</v>
      </c>
      <c r="VYB93" s="456" t="s">
        <v>116</v>
      </c>
      <c r="VYC93" s="456" t="s">
        <v>116</v>
      </c>
      <c r="VYD93" s="456" t="s">
        <v>116</v>
      </c>
      <c r="VYE93" s="456" t="s">
        <v>116</v>
      </c>
      <c r="VYF93" s="456" t="s">
        <v>116</v>
      </c>
      <c r="VYG93" s="456" t="s">
        <v>116</v>
      </c>
      <c r="VYH93" s="456" t="s">
        <v>116</v>
      </c>
      <c r="VYI93" s="456" t="s">
        <v>116</v>
      </c>
      <c r="VYJ93" s="456" t="s">
        <v>116</v>
      </c>
      <c r="VYK93" s="456" t="s">
        <v>116</v>
      </c>
      <c r="VYL93" s="456" t="s">
        <v>116</v>
      </c>
      <c r="VYM93" s="456" t="s">
        <v>116</v>
      </c>
      <c r="VYN93" s="456" t="s">
        <v>116</v>
      </c>
      <c r="VYO93" s="456" t="s">
        <v>116</v>
      </c>
      <c r="VYP93" s="456" t="s">
        <v>116</v>
      </c>
      <c r="VYQ93" s="456" t="s">
        <v>116</v>
      </c>
      <c r="VYR93" s="456" t="s">
        <v>116</v>
      </c>
      <c r="VYS93" s="456" t="s">
        <v>116</v>
      </c>
      <c r="VYT93" s="456" t="s">
        <v>116</v>
      </c>
      <c r="VYU93" s="456" t="s">
        <v>116</v>
      </c>
      <c r="VYV93" s="456" t="s">
        <v>116</v>
      </c>
      <c r="VYW93" s="456" t="s">
        <v>116</v>
      </c>
      <c r="VYX93" s="456" t="s">
        <v>116</v>
      </c>
      <c r="VYY93" s="456" t="s">
        <v>116</v>
      </c>
      <c r="VYZ93" s="456" t="s">
        <v>116</v>
      </c>
      <c r="VZA93" s="456" t="s">
        <v>116</v>
      </c>
      <c r="VZB93" s="456" t="s">
        <v>116</v>
      </c>
      <c r="VZC93" s="456" t="s">
        <v>116</v>
      </c>
      <c r="VZD93" s="456" t="s">
        <v>116</v>
      </c>
      <c r="VZE93" s="456" t="s">
        <v>116</v>
      </c>
      <c r="VZF93" s="456" t="s">
        <v>116</v>
      </c>
      <c r="VZG93" s="456" t="s">
        <v>116</v>
      </c>
      <c r="VZH93" s="456" t="s">
        <v>116</v>
      </c>
      <c r="VZI93" s="456" t="s">
        <v>116</v>
      </c>
      <c r="VZJ93" s="456" t="s">
        <v>116</v>
      </c>
      <c r="VZK93" s="456" t="s">
        <v>116</v>
      </c>
      <c r="VZL93" s="456" t="s">
        <v>116</v>
      </c>
      <c r="VZM93" s="456" t="s">
        <v>116</v>
      </c>
      <c r="VZN93" s="456" t="s">
        <v>116</v>
      </c>
      <c r="VZO93" s="456" t="s">
        <v>116</v>
      </c>
      <c r="VZP93" s="456" t="s">
        <v>116</v>
      </c>
      <c r="VZQ93" s="456" t="s">
        <v>116</v>
      </c>
      <c r="VZR93" s="456" t="s">
        <v>116</v>
      </c>
      <c r="VZS93" s="456" t="s">
        <v>116</v>
      </c>
      <c r="VZT93" s="456" t="s">
        <v>116</v>
      </c>
      <c r="VZU93" s="456" t="s">
        <v>116</v>
      </c>
      <c r="VZV93" s="456" t="s">
        <v>116</v>
      </c>
      <c r="VZW93" s="456" t="s">
        <v>116</v>
      </c>
      <c r="VZX93" s="456" t="s">
        <v>116</v>
      </c>
      <c r="VZY93" s="456" t="s">
        <v>116</v>
      </c>
      <c r="VZZ93" s="456" t="s">
        <v>116</v>
      </c>
      <c r="WAA93" s="456" t="s">
        <v>116</v>
      </c>
      <c r="WAB93" s="456" t="s">
        <v>116</v>
      </c>
      <c r="WAC93" s="456" t="s">
        <v>116</v>
      </c>
      <c r="WAD93" s="456" t="s">
        <v>116</v>
      </c>
      <c r="WAE93" s="456" t="s">
        <v>116</v>
      </c>
      <c r="WAF93" s="456" t="s">
        <v>116</v>
      </c>
      <c r="WAG93" s="456" t="s">
        <v>116</v>
      </c>
      <c r="WAH93" s="456" t="s">
        <v>116</v>
      </c>
      <c r="WAI93" s="456" t="s">
        <v>116</v>
      </c>
      <c r="WAJ93" s="456" t="s">
        <v>116</v>
      </c>
      <c r="WAK93" s="456" t="s">
        <v>116</v>
      </c>
      <c r="WAL93" s="456" t="s">
        <v>116</v>
      </c>
      <c r="WAM93" s="456" t="s">
        <v>116</v>
      </c>
      <c r="WAN93" s="456" t="s">
        <v>116</v>
      </c>
      <c r="WAO93" s="456" t="s">
        <v>116</v>
      </c>
      <c r="WAP93" s="456" t="s">
        <v>116</v>
      </c>
      <c r="WAQ93" s="456" t="s">
        <v>116</v>
      </c>
      <c r="WAR93" s="456" t="s">
        <v>116</v>
      </c>
      <c r="WAS93" s="456" t="s">
        <v>116</v>
      </c>
      <c r="WAT93" s="456" t="s">
        <v>116</v>
      </c>
      <c r="WAU93" s="456" t="s">
        <v>116</v>
      </c>
      <c r="WAV93" s="456" t="s">
        <v>116</v>
      </c>
      <c r="WAW93" s="456" t="s">
        <v>116</v>
      </c>
      <c r="WAX93" s="456" t="s">
        <v>116</v>
      </c>
      <c r="WAY93" s="456" t="s">
        <v>116</v>
      </c>
      <c r="WAZ93" s="456" t="s">
        <v>116</v>
      </c>
      <c r="WBA93" s="456" t="s">
        <v>116</v>
      </c>
      <c r="WBB93" s="456" t="s">
        <v>116</v>
      </c>
      <c r="WBC93" s="456" t="s">
        <v>116</v>
      </c>
      <c r="WBD93" s="456" t="s">
        <v>116</v>
      </c>
      <c r="WBE93" s="456" t="s">
        <v>116</v>
      </c>
      <c r="WBF93" s="456" t="s">
        <v>116</v>
      </c>
      <c r="WBG93" s="456" t="s">
        <v>116</v>
      </c>
      <c r="WBH93" s="456" t="s">
        <v>116</v>
      </c>
      <c r="WBI93" s="456" t="s">
        <v>116</v>
      </c>
      <c r="WBJ93" s="456" t="s">
        <v>116</v>
      </c>
      <c r="WBK93" s="456" t="s">
        <v>116</v>
      </c>
      <c r="WBL93" s="456" t="s">
        <v>116</v>
      </c>
      <c r="WBM93" s="456" t="s">
        <v>116</v>
      </c>
      <c r="WBN93" s="456" t="s">
        <v>116</v>
      </c>
      <c r="WBO93" s="456" t="s">
        <v>116</v>
      </c>
      <c r="WBP93" s="456" t="s">
        <v>116</v>
      </c>
      <c r="WBQ93" s="456" t="s">
        <v>116</v>
      </c>
      <c r="WBR93" s="456" t="s">
        <v>116</v>
      </c>
      <c r="WBS93" s="456" t="s">
        <v>116</v>
      </c>
      <c r="WBT93" s="456" t="s">
        <v>116</v>
      </c>
      <c r="WBU93" s="456" t="s">
        <v>116</v>
      </c>
      <c r="WBV93" s="456" t="s">
        <v>116</v>
      </c>
      <c r="WBW93" s="456" t="s">
        <v>116</v>
      </c>
      <c r="WBX93" s="456" t="s">
        <v>116</v>
      </c>
      <c r="WBY93" s="456" t="s">
        <v>116</v>
      </c>
      <c r="WBZ93" s="456" t="s">
        <v>116</v>
      </c>
      <c r="WCA93" s="456" t="s">
        <v>116</v>
      </c>
      <c r="WCB93" s="456" t="s">
        <v>116</v>
      </c>
      <c r="WCC93" s="456" t="s">
        <v>116</v>
      </c>
      <c r="WCD93" s="456" t="s">
        <v>116</v>
      </c>
      <c r="WCE93" s="456" t="s">
        <v>116</v>
      </c>
      <c r="WCF93" s="456" t="s">
        <v>116</v>
      </c>
      <c r="WCG93" s="456" t="s">
        <v>116</v>
      </c>
      <c r="WCH93" s="456" t="s">
        <v>116</v>
      </c>
      <c r="WCI93" s="456" t="s">
        <v>116</v>
      </c>
      <c r="WCJ93" s="456" t="s">
        <v>116</v>
      </c>
      <c r="WCK93" s="456" t="s">
        <v>116</v>
      </c>
      <c r="WCL93" s="456" t="s">
        <v>116</v>
      </c>
      <c r="WCM93" s="456" t="s">
        <v>116</v>
      </c>
      <c r="WCN93" s="456" t="s">
        <v>116</v>
      </c>
      <c r="WCO93" s="456" t="s">
        <v>116</v>
      </c>
      <c r="WCP93" s="456" t="s">
        <v>116</v>
      </c>
      <c r="WCQ93" s="456" t="s">
        <v>116</v>
      </c>
      <c r="WCR93" s="456" t="s">
        <v>116</v>
      </c>
      <c r="WCS93" s="456" t="s">
        <v>116</v>
      </c>
      <c r="WCT93" s="456" t="s">
        <v>116</v>
      </c>
      <c r="WCU93" s="456" t="s">
        <v>116</v>
      </c>
      <c r="WCV93" s="456" t="s">
        <v>116</v>
      </c>
      <c r="WCW93" s="456" t="s">
        <v>116</v>
      </c>
      <c r="WCX93" s="456" t="s">
        <v>116</v>
      </c>
      <c r="WCY93" s="456" t="s">
        <v>116</v>
      </c>
      <c r="WCZ93" s="456" t="s">
        <v>116</v>
      </c>
      <c r="WDA93" s="456" t="s">
        <v>116</v>
      </c>
      <c r="WDB93" s="456" t="s">
        <v>116</v>
      </c>
      <c r="WDC93" s="456" t="s">
        <v>116</v>
      </c>
      <c r="WDD93" s="456" t="s">
        <v>116</v>
      </c>
      <c r="WDE93" s="456" t="s">
        <v>116</v>
      </c>
      <c r="WDF93" s="456" t="s">
        <v>116</v>
      </c>
      <c r="WDG93" s="456" t="s">
        <v>116</v>
      </c>
      <c r="WDH93" s="456" t="s">
        <v>116</v>
      </c>
      <c r="WDI93" s="456" t="s">
        <v>116</v>
      </c>
      <c r="WDJ93" s="456" t="s">
        <v>116</v>
      </c>
      <c r="WDK93" s="456" t="s">
        <v>116</v>
      </c>
      <c r="WDL93" s="456" t="s">
        <v>116</v>
      </c>
      <c r="WDM93" s="456" t="s">
        <v>116</v>
      </c>
      <c r="WDN93" s="456" t="s">
        <v>116</v>
      </c>
      <c r="WDO93" s="456" t="s">
        <v>116</v>
      </c>
      <c r="WDP93" s="456" t="s">
        <v>116</v>
      </c>
      <c r="WDQ93" s="456" t="s">
        <v>116</v>
      </c>
      <c r="WDR93" s="456" t="s">
        <v>116</v>
      </c>
      <c r="WDS93" s="456" t="s">
        <v>116</v>
      </c>
      <c r="WDT93" s="456" t="s">
        <v>116</v>
      </c>
      <c r="WDU93" s="456" t="s">
        <v>116</v>
      </c>
      <c r="WDV93" s="456" t="s">
        <v>116</v>
      </c>
      <c r="WDW93" s="456" t="s">
        <v>116</v>
      </c>
      <c r="WDX93" s="456" t="s">
        <v>116</v>
      </c>
      <c r="WDY93" s="456" t="s">
        <v>116</v>
      </c>
      <c r="WDZ93" s="456" t="s">
        <v>116</v>
      </c>
      <c r="WEA93" s="456" t="s">
        <v>116</v>
      </c>
      <c r="WEB93" s="456" t="s">
        <v>116</v>
      </c>
      <c r="WEC93" s="456" t="s">
        <v>116</v>
      </c>
      <c r="WED93" s="456" t="s">
        <v>116</v>
      </c>
      <c r="WEE93" s="456" t="s">
        <v>116</v>
      </c>
      <c r="WEF93" s="456" t="s">
        <v>116</v>
      </c>
      <c r="WEG93" s="456" t="s">
        <v>116</v>
      </c>
      <c r="WEH93" s="456" t="s">
        <v>116</v>
      </c>
      <c r="WEI93" s="456" t="s">
        <v>116</v>
      </c>
      <c r="WEJ93" s="456" t="s">
        <v>116</v>
      </c>
      <c r="WEK93" s="456" t="s">
        <v>116</v>
      </c>
      <c r="WEL93" s="456" t="s">
        <v>116</v>
      </c>
      <c r="WEM93" s="456" t="s">
        <v>116</v>
      </c>
      <c r="WEN93" s="456" t="s">
        <v>116</v>
      </c>
      <c r="WEO93" s="456" t="s">
        <v>116</v>
      </c>
      <c r="WEP93" s="456" t="s">
        <v>116</v>
      </c>
      <c r="WEQ93" s="456" t="s">
        <v>116</v>
      </c>
      <c r="WER93" s="456" t="s">
        <v>116</v>
      </c>
      <c r="WES93" s="456" t="s">
        <v>116</v>
      </c>
      <c r="WET93" s="456" t="s">
        <v>116</v>
      </c>
      <c r="WEU93" s="456" t="s">
        <v>116</v>
      </c>
      <c r="WEV93" s="456" t="s">
        <v>116</v>
      </c>
      <c r="WEW93" s="456" t="s">
        <v>116</v>
      </c>
      <c r="WEX93" s="456" t="s">
        <v>116</v>
      </c>
      <c r="WEY93" s="456" t="s">
        <v>116</v>
      </c>
      <c r="WEZ93" s="456" t="s">
        <v>116</v>
      </c>
      <c r="WFA93" s="456" t="s">
        <v>116</v>
      </c>
      <c r="WFB93" s="456" t="s">
        <v>116</v>
      </c>
      <c r="WFC93" s="456" t="s">
        <v>116</v>
      </c>
      <c r="WFD93" s="456" t="s">
        <v>116</v>
      </c>
      <c r="WFE93" s="456" t="s">
        <v>116</v>
      </c>
      <c r="WFF93" s="456" t="s">
        <v>116</v>
      </c>
      <c r="WFG93" s="456" t="s">
        <v>116</v>
      </c>
      <c r="WFH93" s="456" t="s">
        <v>116</v>
      </c>
      <c r="WFI93" s="456" t="s">
        <v>116</v>
      </c>
      <c r="WFJ93" s="456" t="s">
        <v>116</v>
      </c>
      <c r="WFK93" s="456" t="s">
        <v>116</v>
      </c>
      <c r="WFL93" s="456" t="s">
        <v>116</v>
      </c>
      <c r="WFM93" s="456" t="s">
        <v>116</v>
      </c>
      <c r="WFN93" s="456" t="s">
        <v>116</v>
      </c>
      <c r="WFO93" s="456" t="s">
        <v>116</v>
      </c>
      <c r="WFP93" s="456" t="s">
        <v>116</v>
      </c>
      <c r="WFQ93" s="456" t="s">
        <v>116</v>
      </c>
      <c r="WFR93" s="456" t="s">
        <v>116</v>
      </c>
      <c r="WFS93" s="456" t="s">
        <v>116</v>
      </c>
      <c r="WFT93" s="456" t="s">
        <v>116</v>
      </c>
      <c r="WFU93" s="456" t="s">
        <v>116</v>
      </c>
      <c r="WFV93" s="456" t="s">
        <v>116</v>
      </c>
      <c r="WFW93" s="456" t="s">
        <v>116</v>
      </c>
      <c r="WFX93" s="456" t="s">
        <v>116</v>
      </c>
      <c r="WFY93" s="456" t="s">
        <v>116</v>
      </c>
      <c r="WFZ93" s="456" t="s">
        <v>116</v>
      </c>
      <c r="WGA93" s="456" t="s">
        <v>116</v>
      </c>
      <c r="WGB93" s="456" t="s">
        <v>116</v>
      </c>
      <c r="WGC93" s="456" t="s">
        <v>116</v>
      </c>
      <c r="WGD93" s="456" t="s">
        <v>116</v>
      </c>
      <c r="WGE93" s="456" t="s">
        <v>116</v>
      </c>
      <c r="WGF93" s="456" t="s">
        <v>116</v>
      </c>
      <c r="WGG93" s="456" t="s">
        <v>116</v>
      </c>
      <c r="WGH93" s="456" t="s">
        <v>116</v>
      </c>
      <c r="WGI93" s="456" t="s">
        <v>116</v>
      </c>
      <c r="WGJ93" s="456" t="s">
        <v>116</v>
      </c>
      <c r="WGK93" s="456" t="s">
        <v>116</v>
      </c>
      <c r="WGL93" s="456" t="s">
        <v>116</v>
      </c>
      <c r="WGM93" s="456" t="s">
        <v>116</v>
      </c>
      <c r="WGN93" s="456" t="s">
        <v>116</v>
      </c>
      <c r="WGO93" s="456" t="s">
        <v>116</v>
      </c>
      <c r="WGP93" s="456" t="s">
        <v>116</v>
      </c>
      <c r="WGQ93" s="456" t="s">
        <v>116</v>
      </c>
      <c r="WGR93" s="456" t="s">
        <v>116</v>
      </c>
      <c r="WGS93" s="456" t="s">
        <v>116</v>
      </c>
      <c r="WGT93" s="456" t="s">
        <v>116</v>
      </c>
      <c r="WGU93" s="456" t="s">
        <v>116</v>
      </c>
      <c r="WGV93" s="456" t="s">
        <v>116</v>
      </c>
      <c r="WGW93" s="456" t="s">
        <v>116</v>
      </c>
      <c r="WGX93" s="456" t="s">
        <v>116</v>
      </c>
      <c r="WGY93" s="456" t="s">
        <v>116</v>
      </c>
      <c r="WGZ93" s="456" t="s">
        <v>116</v>
      </c>
      <c r="WHA93" s="456" t="s">
        <v>116</v>
      </c>
      <c r="WHB93" s="456" t="s">
        <v>116</v>
      </c>
      <c r="WHC93" s="456" t="s">
        <v>116</v>
      </c>
      <c r="WHD93" s="456" t="s">
        <v>116</v>
      </c>
      <c r="WHE93" s="456" t="s">
        <v>116</v>
      </c>
      <c r="WHF93" s="456" t="s">
        <v>116</v>
      </c>
      <c r="WHG93" s="456" t="s">
        <v>116</v>
      </c>
      <c r="WHH93" s="456" t="s">
        <v>116</v>
      </c>
      <c r="WHI93" s="456" t="s">
        <v>116</v>
      </c>
      <c r="WHJ93" s="456" t="s">
        <v>116</v>
      </c>
      <c r="WHK93" s="456" t="s">
        <v>116</v>
      </c>
      <c r="WHL93" s="456" t="s">
        <v>116</v>
      </c>
      <c r="WHM93" s="456" t="s">
        <v>116</v>
      </c>
      <c r="WHN93" s="456" t="s">
        <v>116</v>
      </c>
      <c r="WHO93" s="456" t="s">
        <v>116</v>
      </c>
      <c r="WHP93" s="456" t="s">
        <v>116</v>
      </c>
      <c r="WHQ93" s="456" t="s">
        <v>116</v>
      </c>
      <c r="WHR93" s="456" t="s">
        <v>116</v>
      </c>
      <c r="WHS93" s="456" t="s">
        <v>116</v>
      </c>
      <c r="WHT93" s="456" t="s">
        <v>116</v>
      </c>
      <c r="WHU93" s="456" t="s">
        <v>116</v>
      </c>
      <c r="WHV93" s="456" t="s">
        <v>116</v>
      </c>
      <c r="WHW93" s="456" t="s">
        <v>116</v>
      </c>
      <c r="WHX93" s="456" t="s">
        <v>116</v>
      </c>
      <c r="WHY93" s="456" t="s">
        <v>116</v>
      </c>
      <c r="WHZ93" s="456" t="s">
        <v>116</v>
      </c>
      <c r="WIA93" s="456" t="s">
        <v>116</v>
      </c>
      <c r="WIB93" s="456" t="s">
        <v>116</v>
      </c>
      <c r="WIC93" s="456" t="s">
        <v>116</v>
      </c>
      <c r="WID93" s="456" t="s">
        <v>116</v>
      </c>
      <c r="WIE93" s="456" t="s">
        <v>116</v>
      </c>
      <c r="WIF93" s="456" t="s">
        <v>116</v>
      </c>
      <c r="WIG93" s="456" t="s">
        <v>116</v>
      </c>
      <c r="WIH93" s="456" t="s">
        <v>116</v>
      </c>
      <c r="WII93" s="456" t="s">
        <v>116</v>
      </c>
      <c r="WIJ93" s="456" t="s">
        <v>116</v>
      </c>
      <c r="WIK93" s="456" t="s">
        <v>116</v>
      </c>
      <c r="WIL93" s="456" t="s">
        <v>116</v>
      </c>
      <c r="WIM93" s="456" t="s">
        <v>116</v>
      </c>
      <c r="WIN93" s="456" t="s">
        <v>116</v>
      </c>
      <c r="WIO93" s="456" t="s">
        <v>116</v>
      </c>
      <c r="WIP93" s="456" t="s">
        <v>116</v>
      </c>
      <c r="WIQ93" s="456" t="s">
        <v>116</v>
      </c>
      <c r="WIR93" s="456" t="s">
        <v>116</v>
      </c>
      <c r="WIS93" s="456" t="s">
        <v>116</v>
      </c>
      <c r="WIT93" s="456" t="s">
        <v>116</v>
      </c>
      <c r="WIU93" s="456" t="s">
        <v>116</v>
      </c>
      <c r="WIV93" s="456" t="s">
        <v>116</v>
      </c>
      <c r="WIW93" s="456" t="s">
        <v>116</v>
      </c>
      <c r="WIX93" s="456" t="s">
        <v>116</v>
      </c>
      <c r="WIY93" s="456" t="s">
        <v>116</v>
      </c>
      <c r="WIZ93" s="456" t="s">
        <v>116</v>
      </c>
      <c r="WJA93" s="456" t="s">
        <v>116</v>
      </c>
      <c r="WJB93" s="456" t="s">
        <v>116</v>
      </c>
      <c r="WJC93" s="456" t="s">
        <v>116</v>
      </c>
      <c r="WJD93" s="456" t="s">
        <v>116</v>
      </c>
      <c r="WJE93" s="456" t="s">
        <v>116</v>
      </c>
      <c r="WJF93" s="456" t="s">
        <v>116</v>
      </c>
      <c r="WJG93" s="456" t="s">
        <v>116</v>
      </c>
      <c r="WJH93" s="456" t="s">
        <v>116</v>
      </c>
      <c r="WJI93" s="456" t="s">
        <v>116</v>
      </c>
      <c r="WJJ93" s="456" t="s">
        <v>116</v>
      </c>
      <c r="WJK93" s="456" t="s">
        <v>116</v>
      </c>
      <c r="WJL93" s="456" t="s">
        <v>116</v>
      </c>
      <c r="WJM93" s="456" t="s">
        <v>116</v>
      </c>
      <c r="WJN93" s="456" t="s">
        <v>116</v>
      </c>
      <c r="WJO93" s="456" t="s">
        <v>116</v>
      </c>
      <c r="WJP93" s="456" t="s">
        <v>116</v>
      </c>
      <c r="WJQ93" s="456" t="s">
        <v>116</v>
      </c>
      <c r="WJR93" s="456" t="s">
        <v>116</v>
      </c>
      <c r="WJS93" s="456" t="s">
        <v>116</v>
      </c>
      <c r="WJT93" s="456" t="s">
        <v>116</v>
      </c>
      <c r="WJU93" s="456" t="s">
        <v>116</v>
      </c>
      <c r="WJV93" s="456" t="s">
        <v>116</v>
      </c>
      <c r="WJW93" s="456" t="s">
        <v>116</v>
      </c>
      <c r="WJX93" s="456" t="s">
        <v>116</v>
      </c>
      <c r="WJY93" s="456" t="s">
        <v>116</v>
      </c>
      <c r="WJZ93" s="456" t="s">
        <v>116</v>
      </c>
      <c r="WKA93" s="456" t="s">
        <v>116</v>
      </c>
      <c r="WKB93" s="456" t="s">
        <v>116</v>
      </c>
      <c r="WKC93" s="456" t="s">
        <v>116</v>
      </c>
      <c r="WKD93" s="456" t="s">
        <v>116</v>
      </c>
      <c r="WKE93" s="456" t="s">
        <v>116</v>
      </c>
      <c r="WKF93" s="456" t="s">
        <v>116</v>
      </c>
      <c r="WKG93" s="456" t="s">
        <v>116</v>
      </c>
      <c r="WKH93" s="456" t="s">
        <v>116</v>
      </c>
      <c r="WKI93" s="456" t="s">
        <v>116</v>
      </c>
      <c r="WKJ93" s="456" t="s">
        <v>116</v>
      </c>
      <c r="WKK93" s="456" t="s">
        <v>116</v>
      </c>
      <c r="WKL93" s="456" t="s">
        <v>116</v>
      </c>
      <c r="WKM93" s="456" t="s">
        <v>116</v>
      </c>
      <c r="WKN93" s="456" t="s">
        <v>116</v>
      </c>
      <c r="WKO93" s="456" t="s">
        <v>116</v>
      </c>
      <c r="WKP93" s="456" t="s">
        <v>116</v>
      </c>
      <c r="WKQ93" s="456" t="s">
        <v>116</v>
      </c>
      <c r="WKR93" s="456" t="s">
        <v>116</v>
      </c>
      <c r="WKS93" s="456" t="s">
        <v>116</v>
      </c>
      <c r="WKT93" s="456" t="s">
        <v>116</v>
      </c>
      <c r="WKU93" s="456" t="s">
        <v>116</v>
      </c>
      <c r="WKV93" s="456" t="s">
        <v>116</v>
      </c>
      <c r="WKW93" s="456" t="s">
        <v>116</v>
      </c>
      <c r="WKX93" s="456" t="s">
        <v>116</v>
      </c>
      <c r="WKY93" s="456" t="s">
        <v>116</v>
      </c>
      <c r="WKZ93" s="456" t="s">
        <v>116</v>
      </c>
      <c r="WLA93" s="456" t="s">
        <v>116</v>
      </c>
      <c r="WLB93" s="456" t="s">
        <v>116</v>
      </c>
      <c r="WLC93" s="456" t="s">
        <v>116</v>
      </c>
      <c r="WLD93" s="456" t="s">
        <v>116</v>
      </c>
      <c r="WLE93" s="456" t="s">
        <v>116</v>
      </c>
      <c r="WLF93" s="456" t="s">
        <v>116</v>
      </c>
      <c r="WLG93" s="456" t="s">
        <v>116</v>
      </c>
      <c r="WLH93" s="456" t="s">
        <v>116</v>
      </c>
      <c r="WLI93" s="456" t="s">
        <v>116</v>
      </c>
      <c r="WLJ93" s="456" t="s">
        <v>116</v>
      </c>
      <c r="WLK93" s="456" t="s">
        <v>116</v>
      </c>
      <c r="WLL93" s="456" t="s">
        <v>116</v>
      </c>
      <c r="WLM93" s="456" t="s">
        <v>116</v>
      </c>
      <c r="WLN93" s="456" t="s">
        <v>116</v>
      </c>
      <c r="WLO93" s="456" t="s">
        <v>116</v>
      </c>
      <c r="WLP93" s="456" t="s">
        <v>116</v>
      </c>
      <c r="WLQ93" s="456" t="s">
        <v>116</v>
      </c>
      <c r="WLR93" s="456" t="s">
        <v>116</v>
      </c>
      <c r="WLS93" s="456" t="s">
        <v>116</v>
      </c>
      <c r="WLT93" s="456" t="s">
        <v>116</v>
      </c>
      <c r="WLU93" s="456" t="s">
        <v>116</v>
      </c>
      <c r="WLV93" s="456" t="s">
        <v>116</v>
      </c>
      <c r="WLW93" s="456" t="s">
        <v>116</v>
      </c>
      <c r="WLX93" s="456" t="s">
        <v>116</v>
      </c>
      <c r="WLY93" s="456" t="s">
        <v>116</v>
      </c>
      <c r="WLZ93" s="456" t="s">
        <v>116</v>
      </c>
      <c r="WMA93" s="456" t="s">
        <v>116</v>
      </c>
      <c r="WMB93" s="456" t="s">
        <v>116</v>
      </c>
      <c r="WMC93" s="456" t="s">
        <v>116</v>
      </c>
      <c r="WMD93" s="456" t="s">
        <v>116</v>
      </c>
      <c r="WME93" s="456" t="s">
        <v>116</v>
      </c>
      <c r="WMF93" s="456" t="s">
        <v>116</v>
      </c>
      <c r="WMG93" s="456" t="s">
        <v>116</v>
      </c>
      <c r="WMH93" s="456" t="s">
        <v>116</v>
      </c>
      <c r="WMI93" s="456" t="s">
        <v>116</v>
      </c>
      <c r="WMJ93" s="456" t="s">
        <v>116</v>
      </c>
      <c r="WMK93" s="456" t="s">
        <v>116</v>
      </c>
      <c r="WML93" s="456" t="s">
        <v>116</v>
      </c>
      <c r="WMM93" s="456" t="s">
        <v>116</v>
      </c>
      <c r="WMN93" s="456" t="s">
        <v>116</v>
      </c>
      <c r="WMO93" s="456" t="s">
        <v>116</v>
      </c>
      <c r="WMP93" s="456" t="s">
        <v>116</v>
      </c>
      <c r="WMQ93" s="456" t="s">
        <v>116</v>
      </c>
      <c r="WMR93" s="456" t="s">
        <v>116</v>
      </c>
      <c r="WMS93" s="456" t="s">
        <v>116</v>
      </c>
      <c r="WMT93" s="456" t="s">
        <v>116</v>
      </c>
      <c r="WMU93" s="456" t="s">
        <v>116</v>
      </c>
      <c r="WMV93" s="456" t="s">
        <v>116</v>
      </c>
      <c r="WMW93" s="456" t="s">
        <v>116</v>
      </c>
      <c r="WMX93" s="456" t="s">
        <v>116</v>
      </c>
      <c r="WMY93" s="456" t="s">
        <v>116</v>
      </c>
      <c r="WMZ93" s="456" t="s">
        <v>116</v>
      </c>
      <c r="WNA93" s="456" t="s">
        <v>116</v>
      </c>
      <c r="WNB93" s="456" t="s">
        <v>116</v>
      </c>
      <c r="WNC93" s="456" t="s">
        <v>116</v>
      </c>
      <c r="WND93" s="456" t="s">
        <v>116</v>
      </c>
      <c r="WNE93" s="456" t="s">
        <v>116</v>
      </c>
      <c r="WNF93" s="456" t="s">
        <v>116</v>
      </c>
      <c r="WNG93" s="456" t="s">
        <v>116</v>
      </c>
      <c r="WNH93" s="456" t="s">
        <v>116</v>
      </c>
      <c r="WNI93" s="456" t="s">
        <v>116</v>
      </c>
      <c r="WNJ93" s="456" t="s">
        <v>116</v>
      </c>
      <c r="WNK93" s="456" t="s">
        <v>116</v>
      </c>
      <c r="WNL93" s="456" t="s">
        <v>116</v>
      </c>
      <c r="WNM93" s="456" t="s">
        <v>116</v>
      </c>
      <c r="WNN93" s="456" t="s">
        <v>116</v>
      </c>
      <c r="WNO93" s="456" t="s">
        <v>116</v>
      </c>
      <c r="WNP93" s="456" t="s">
        <v>116</v>
      </c>
      <c r="WNQ93" s="456" t="s">
        <v>116</v>
      </c>
      <c r="WNR93" s="456" t="s">
        <v>116</v>
      </c>
      <c r="WNS93" s="456" t="s">
        <v>116</v>
      </c>
      <c r="WNT93" s="456" t="s">
        <v>116</v>
      </c>
      <c r="WNU93" s="456" t="s">
        <v>116</v>
      </c>
      <c r="WNV93" s="456" t="s">
        <v>116</v>
      </c>
      <c r="WNW93" s="456" t="s">
        <v>116</v>
      </c>
      <c r="WNX93" s="456" t="s">
        <v>116</v>
      </c>
      <c r="WNY93" s="456" t="s">
        <v>116</v>
      </c>
      <c r="WNZ93" s="456" t="s">
        <v>116</v>
      </c>
      <c r="WOA93" s="456" t="s">
        <v>116</v>
      </c>
      <c r="WOB93" s="456" t="s">
        <v>116</v>
      </c>
      <c r="WOC93" s="456" t="s">
        <v>116</v>
      </c>
      <c r="WOD93" s="456" t="s">
        <v>116</v>
      </c>
      <c r="WOE93" s="456" t="s">
        <v>116</v>
      </c>
      <c r="WOF93" s="456" t="s">
        <v>116</v>
      </c>
      <c r="WOG93" s="456" t="s">
        <v>116</v>
      </c>
      <c r="WOH93" s="456" t="s">
        <v>116</v>
      </c>
      <c r="WOI93" s="456" t="s">
        <v>116</v>
      </c>
      <c r="WOJ93" s="456" t="s">
        <v>116</v>
      </c>
      <c r="WOK93" s="456" t="s">
        <v>116</v>
      </c>
      <c r="WOL93" s="456" t="s">
        <v>116</v>
      </c>
      <c r="WOM93" s="456" t="s">
        <v>116</v>
      </c>
      <c r="WON93" s="456" t="s">
        <v>116</v>
      </c>
      <c r="WOO93" s="456" t="s">
        <v>116</v>
      </c>
      <c r="WOP93" s="456" t="s">
        <v>116</v>
      </c>
      <c r="WOQ93" s="456" t="s">
        <v>116</v>
      </c>
      <c r="WOR93" s="456" t="s">
        <v>116</v>
      </c>
      <c r="WOS93" s="456" t="s">
        <v>116</v>
      </c>
      <c r="WOT93" s="456" t="s">
        <v>116</v>
      </c>
      <c r="WOU93" s="456" t="s">
        <v>116</v>
      </c>
      <c r="WOV93" s="456" t="s">
        <v>116</v>
      </c>
      <c r="WOW93" s="456" t="s">
        <v>116</v>
      </c>
      <c r="WOX93" s="456" t="s">
        <v>116</v>
      </c>
      <c r="WOY93" s="456" t="s">
        <v>116</v>
      </c>
      <c r="WOZ93" s="456" t="s">
        <v>116</v>
      </c>
      <c r="WPA93" s="456" t="s">
        <v>116</v>
      </c>
      <c r="WPB93" s="456" t="s">
        <v>116</v>
      </c>
      <c r="WPC93" s="456" t="s">
        <v>116</v>
      </c>
      <c r="WPD93" s="456" t="s">
        <v>116</v>
      </c>
      <c r="WPE93" s="456" t="s">
        <v>116</v>
      </c>
      <c r="WPF93" s="456" t="s">
        <v>116</v>
      </c>
      <c r="WPG93" s="456" t="s">
        <v>116</v>
      </c>
      <c r="WPH93" s="456" t="s">
        <v>116</v>
      </c>
      <c r="WPI93" s="456" t="s">
        <v>116</v>
      </c>
      <c r="WPJ93" s="456" t="s">
        <v>116</v>
      </c>
      <c r="WPK93" s="456" t="s">
        <v>116</v>
      </c>
      <c r="WPL93" s="456" t="s">
        <v>116</v>
      </c>
      <c r="WPM93" s="456" t="s">
        <v>116</v>
      </c>
      <c r="WPN93" s="456" t="s">
        <v>116</v>
      </c>
      <c r="WPO93" s="456" t="s">
        <v>116</v>
      </c>
      <c r="WPP93" s="456" t="s">
        <v>116</v>
      </c>
      <c r="WPQ93" s="456" t="s">
        <v>116</v>
      </c>
      <c r="WPR93" s="456" t="s">
        <v>116</v>
      </c>
      <c r="WPS93" s="456" t="s">
        <v>116</v>
      </c>
      <c r="WPT93" s="456" t="s">
        <v>116</v>
      </c>
      <c r="WPU93" s="456" t="s">
        <v>116</v>
      </c>
      <c r="WPV93" s="456" t="s">
        <v>116</v>
      </c>
      <c r="WPW93" s="456" t="s">
        <v>116</v>
      </c>
      <c r="WPX93" s="456" t="s">
        <v>116</v>
      </c>
      <c r="WPY93" s="456" t="s">
        <v>116</v>
      </c>
      <c r="WPZ93" s="456" t="s">
        <v>116</v>
      </c>
      <c r="WQA93" s="456" t="s">
        <v>116</v>
      </c>
      <c r="WQB93" s="456" t="s">
        <v>116</v>
      </c>
      <c r="WQC93" s="456" t="s">
        <v>116</v>
      </c>
      <c r="WQD93" s="456" t="s">
        <v>116</v>
      </c>
      <c r="WQE93" s="456" t="s">
        <v>116</v>
      </c>
      <c r="WQF93" s="456" t="s">
        <v>116</v>
      </c>
      <c r="WQG93" s="456" t="s">
        <v>116</v>
      </c>
      <c r="WQH93" s="456" t="s">
        <v>116</v>
      </c>
      <c r="WQI93" s="456" t="s">
        <v>116</v>
      </c>
      <c r="WQJ93" s="456" t="s">
        <v>116</v>
      </c>
      <c r="WQK93" s="456" t="s">
        <v>116</v>
      </c>
      <c r="WQL93" s="456" t="s">
        <v>116</v>
      </c>
      <c r="WQM93" s="456" t="s">
        <v>116</v>
      </c>
      <c r="WQN93" s="456" t="s">
        <v>116</v>
      </c>
      <c r="WQO93" s="456" t="s">
        <v>116</v>
      </c>
      <c r="WQP93" s="456" t="s">
        <v>116</v>
      </c>
      <c r="WQQ93" s="456" t="s">
        <v>116</v>
      </c>
      <c r="WQR93" s="456" t="s">
        <v>116</v>
      </c>
      <c r="WQS93" s="456" t="s">
        <v>116</v>
      </c>
      <c r="WQT93" s="456" t="s">
        <v>116</v>
      </c>
      <c r="WQU93" s="456" t="s">
        <v>116</v>
      </c>
      <c r="WQV93" s="456" t="s">
        <v>116</v>
      </c>
      <c r="WQW93" s="456" t="s">
        <v>116</v>
      </c>
      <c r="WQX93" s="456" t="s">
        <v>116</v>
      </c>
      <c r="WQY93" s="456" t="s">
        <v>116</v>
      </c>
      <c r="WQZ93" s="456" t="s">
        <v>116</v>
      </c>
      <c r="WRA93" s="456" t="s">
        <v>116</v>
      </c>
      <c r="WRB93" s="456" t="s">
        <v>116</v>
      </c>
      <c r="WRC93" s="456" t="s">
        <v>116</v>
      </c>
      <c r="WRD93" s="456" t="s">
        <v>116</v>
      </c>
      <c r="WRE93" s="456" t="s">
        <v>116</v>
      </c>
      <c r="WRF93" s="456" t="s">
        <v>116</v>
      </c>
      <c r="WRG93" s="456" t="s">
        <v>116</v>
      </c>
      <c r="WRH93" s="456" t="s">
        <v>116</v>
      </c>
      <c r="WRI93" s="456" t="s">
        <v>116</v>
      </c>
      <c r="WRJ93" s="456" t="s">
        <v>116</v>
      </c>
      <c r="WRK93" s="456" t="s">
        <v>116</v>
      </c>
      <c r="WRL93" s="456" t="s">
        <v>116</v>
      </c>
      <c r="WRM93" s="456" t="s">
        <v>116</v>
      </c>
      <c r="WRN93" s="456" t="s">
        <v>116</v>
      </c>
      <c r="WRO93" s="456" t="s">
        <v>116</v>
      </c>
      <c r="WRP93" s="456" t="s">
        <v>116</v>
      </c>
      <c r="WRQ93" s="456" t="s">
        <v>116</v>
      </c>
      <c r="WRR93" s="456" t="s">
        <v>116</v>
      </c>
      <c r="WRS93" s="456" t="s">
        <v>116</v>
      </c>
      <c r="WRT93" s="456" t="s">
        <v>116</v>
      </c>
      <c r="WRU93" s="456" t="s">
        <v>116</v>
      </c>
      <c r="WRV93" s="456" t="s">
        <v>116</v>
      </c>
      <c r="WRW93" s="456" t="s">
        <v>116</v>
      </c>
      <c r="WRX93" s="456" t="s">
        <v>116</v>
      </c>
      <c r="WRY93" s="456" t="s">
        <v>116</v>
      </c>
      <c r="WRZ93" s="456" t="s">
        <v>116</v>
      </c>
      <c r="WSA93" s="456" t="s">
        <v>116</v>
      </c>
      <c r="WSB93" s="456" t="s">
        <v>116</v>
      </c>
      <c r="WSC93" s="456" t="s">
        <v>116</v>
      </c>
      <c r="WSD93" s="456" t="s">
        <v>116</v>
      </c>
      <c r="WSE93" s="456" t="s">
        <v>116</v>
      </c>
      <c r="WSF93" s="456" t="s">
        <v>116</v>
      </c>
      <c r="WSG93" s="456" t="s">
        <v>116</v>
      </c>
      <c r="WSH93" s="456" t="s">
        <v>116</v>
      </c>
      <c r="WSI93" s="456" t="s">
        <v>116</v>
      </c>
      <c r="WSJ93" s="456" t="s">
        <v>116</v>
      </c>
      <c r="WSK93" s="456" t="s">
        <v>116</v>
      </c>
      <c r="WSL93" s="456" t="s">
        <v>116</v>
      </c>
      <c r="WSM93" s="456" t="s">
        <v>116</v>
      </c>
      <c r="WSN93" s="456" t="s">
        <v>116</v>
      </c>
      <c r="WSO93" s="456" t="s">
        <v>116</v>
      </c>
      <c r="WSP93" s="456" t="s">
        <v>116</v>
      </c>
      <c r="WSQ93" s="456" t="s">
        <v>116</v>
      </c>
      <c r="WSR93" s="456" t="s">
        <v>116</v>
      </c>
      <c r="WSS93" s="456" t="s">
        <v>116</v>
      </c>
      <c r="WST93" s="456" t="s">
        <v>116</v>
      </c>
      <c r="WSU93" s="456" t="s">
        <v>116</v>
      </c>
      <c r="WSV93" s="456" t="s">
        <v>116</v>
      </c>
      <c r="WSW93" s="456" t="s">
        <v>116</v>
      </c>
      <c r="WSX93" s="456" t="s">
        <v>116</v>
      </c>
      <c r="WSY93" s="456" t="s">
        <v>116</v>
      </c>
      <c r="WSZ93" s="456" t="s">
        <v>116</v>
      </c>
      <c r="WTA93" s="456" t="s">
        <v>116</v>
      </c>
      <c r="WTB93" s="456" t="s">
        <v>116</v>
      </c>
      <c r="WTC93" s="456" t="s">
        <v>116</v>
      </c>
      <c r="WTD93" s="456" t="s">
        <v>116</v>
      </c>
      <c r="WTE93" s="456" t="s">
        <v>116</v>
      </c>
      <c r="WTF93" s="456" t="s">
        <v>116</v>
      </c>
      <c r="WTG93" s="456" t="s">
        <v>116</v>
      </c>
      <c r="WTH93" s="456" t="s">
        <v>116</v>
      </c>
      <c r="WTI93" s="456" t="s">
        <v>116</v>
      </c>
      <c r="WTJ93" s="456" t="s">
        <v>116</v>
      </c>
      <c r="WTK93" s="456" t="s">
        <v>116</v>
      </c>
      <c r="WTL93" s="456" t="s">
        <v>116</v>
      </c>
      <c r="WTM93" s="456" t="s">
        <v>116</v>
      </c>
      <c r="WTN93" s="456" t="s">
        <v>116</v>
      </c>
      <c r="WTO93" s="456" t="s">
        <v>116</v>
      </c>
      <c r="WTP93" s="456" t="s">
        <v>116</v>
      </c>
      <c r="WTQ93" s="456" t="s">
        <v>116</v>
      </c>
      <c r="WTR93" s="456" t="s">
        <v>116</v>
      </c>
      <c r="WTS93" s="456" t="s">
        <v>116</v>
      </c>
      <c r="WTT93" s="456" t="s">
        <v>116</v>
      </c>
      <c r="WTU93" s="456" t="s">
        <v>116</v>
      </c>
      <c r="WTV93" s="456" t="s">
        <v>116</v>
      </c>
      <c r="WTW93" s="456" t="s">
        <v>116</v>
      </c>
      <c r="WTX93" s="456" t="s">
        <v>116</v>
      </c>
      <c r="WTY93" s="456" t="s">
        <v>116</v>
      </c>
      <c r="WTZ93" s="456" t="s">
        <v>116</v>
      </c>
      <c r="WUA93" s="456" t="s">
        <v>116</v>
      </c>
      <c r="WUB93" s="456" t="s">
        <v>116</v>
      </c>
      <c r="WUC93" s="456" t="s">
        <v>116</v>
      </c>
      <c r="WUD93" s="456" t="s">
        <v>116</v>
      </c>
      <c r="WUE93" s="456" t="s">
        <v>116</v>
      </c>
      <c r="WUF93" s="456" t="s">
        <v>116</v>
      </c>
      <c r="WUG93" s="456" t="s">
        <v>116</v>
      </c>
      <c r="WUH93" s="456" t="s">
        <v>116</v>
      </c>
      <c r="WUI93" s="456" t="s">
        <v>116</v>
      </c>
      <c r="WUJ93" s="456" t="s">
        <v>116</v>
      </c>
      <c r="WUK93" s="456" t="s">
        <v>116</v>
      </c>
      <c r="WUL93" s="456" t="s">
        <v>116</v>
      </c>
      <c r="WUM93" s="456" t="s">
        <v>116</v>
      </c>
      <c r="WUN93" s="456" t="s">
        <v>116</v>
      </c>
      <c r="WUO93" s="456" t="s">
        <v>116</v>
      </c>
      <c r="WUP93" s="456" t="s">
        <v>116</v>
      </c>
      <c r="WUQ93" s="456" t="s">
        <v>116</v>
      </c>
      <c r="WUR93" s="456" t="s">
        <v>116</v>
      </c>
      <c r="WUS93" s="456" t="s">
        <v>116</v>
      </c>
      <c r="WUT93" s="456" t="s">
        <v>116</v>
      </c>
      <c r="WUU93" s="456" t="s">
        <v>116</v>
      </c>
      <c r="WUV93" s="456" t="s">
        <v>116</v>
      </c>
      <c r="WUW93" s="456" t="s">
        <v>116</v>
      </c>
      <c r="WUX93" s="456" t="s">
        <v>116</v>
      </c>
      <c r="WUY93" s="456" t="s">
        <v>116</v>
      </c>
      <c r="WUZ93" s="456" t="s">
        <v>116</v>
      </c>
      <c r="WVA93" s="456" t="s">
        <v>116</v>
      </c>
      <c r="WVB93" s="456" t="s">
        <v>116</v>
      </c>
      <c r="WVC93" s="456" t="s">
        <v>116</v>
      </c>
      <c r="WVD93" s="456" t="s">
        <v>116</v>
      </c>
      <c r="WVE93" s="456" t="s">
        <v>116</v>
      </c>
      <c r="WVF93" s="456" t="s">
        <v>116</v>
      </c>
      <c r="WVG93" s="456" t="s">
        <v>116</v>
      </c>
      <c r="WVH93" s="456" t="s">
        <v>116</v>
      </c>
      <c r="WVI93" s="456" t="s">
        <v>116</v>
      </c>
      <c r="WVJ93" s="456" t="s">
        <v>116</v>
      </c>
      <c r="WVK93" s="456" t="s">
        <v>116</v>
      </c>
      <c r="WVL93" s="456" t="s">
        <v>116</v>
      </c>
      <c r="WVM93" s="456" t="s">
        <v>116</v>
      </c>
      <c r="WVN93" s="456" t="s">
        <v>116</v>
      </c>
      <c r="WVO93" s="456" t="s">
        <v>116</v>
      </c>
      <c r="WVP93" s="456" t="s">
        <v>116</v>
      </c>
      <c r="WVQ93" s="456" t="s">
        <v>116</v>
      </c>
      <c r="WVR93" s="456" t="s">
        <v>116</v>
      </c>
      <c r="WVS93" s="456" t="s">
        <v>116</v>
      </c>
      <c r="WVT93" s="456" t="s">
        <v>116</v>
      </c>
      <c r="WVU93" s="456" t="s">
        <v>116</v>
      </c>
      <c r="WVV93" s="456" t="s">
        <v>116</v>
      </c>
      <c r="WVW93" s="456" t="s">
        <v>116</v>
      </c>
      <c r="WVX93" s="456" t="s">
        <v>116</v>
      </c>
      <c r="WVY93" s="456" t="s">
        <v>116</v>
      </c>
      <c r="WVZ93" s="456" t="s">
        <v>116</v>
      </c>
      <c r="WWA93" s="456" t="s">
        <v>116</v>
      </c>
      <c r="WWB93" s="456" t="s">
        <v>116</v>
      </c>
      <c r="WWC93" s="456" t="s">
        <v>116</v>
      </c>
      <c r="WWD93" s="456" t="s">
        <v>116</v>
      </c>
      <c r="WWE93" s="456" t="s">
        <v>116</v>
      </c>
      <c r="WWF93" s="456" t="s">
        <v>116</v>
      </c>
      <c r="WWG93" s="456" t="s">
        <v>116</v>
      </c>
      <c r="WWH93" s="456" t="s">
        <v>116</v>
      </c>
      <c r="WWI93" s="456" t="s">
        <v>116</v>
      </c>
      <c r="WWJ93" s="456" t="s">
        <v>116</v>
      </c>
      <c r="WWK93" s="456" t="s">
        <v>116</v>
      </c>
      <c r="WWL93" s="456" t="s">
        <v>116</v>
      </c>
      <c r="WWM93" s="456" t="s">
        <v>116</v>
      </c>
      <c r="WWN93" s="456" t="s">
        <v>116</v>
      </c>
      <c r="WWO93" s="456" t="s">
        <v>116</v>
      </c>
      <c r="WWP93" s="456" t="s">
        <v>116</v>
      </c>
      <c r="WWQ93" s="456" t="s">
        <v>116</v>
      </c>
      <c r="WWR93" s="456" t="s">
        <v>116</v>
      </c>
      <c r="WWS93" s="456" t="s">
        <v>116</v>
      </c>
      <c r="WWT93" s="456" t="s">
        <v>116</v>
      </c>
      <c r="WWU93" s="456" t="s">
        <v>116</v>
      </c>
      <c r="WWV93" s="456" t="s">
        <v>116</v>
      </c>
      <c r="WWW93" s="456" t="s">
        <v>116</v>
      </c>
      <c r="WWX93" s="456" t="s">
        <v>116</v>
      </c>
      <c r="WWY93" s="456" t="s">
        <v>116</v>
      </c>
      <c r="WWZ93" s="456" t="s">
        <v>116</v>
      </c>
      <c r="WXA93" s="456" t="s">
        <v>116</v>
      </c>
      <c r="WXB93" s="456" t="s">
        <v>116</v>
      </c>
      <c r="WXC93" s="456" t="s">
        <v>116</v>
      </c>
      <c r="WXD93" s="456" t="s">
        <v>116</v>
      </c>
      <c r="WXE93" s="456" t="s">
        <v>116</v>
      </c>
      <c r="WXF93" s="456" t="s">
        <v>116</v>
      </c>
      <c r="WXG93" s="456" t="s">
        <v>116</v>
      </c>
      <c r="WXH93" s="456" t="s">
        <v>116</v>
      </c>
      <c r="WXI93" s="456" t="s">
        <v>116</v>
      </c>
      <c r="WXJ93" s="456" t="s">
        <v>116</v>
      </c>
      <c r="WXK93" s="456" t="s">
        <v>116</v>
      </c>
      <c r="WXL93" s="456" t="s">
        <v>116</v>
      </c>
      <c r="WXM93" s="456" t="s">
        <v>116</v>
      </c>
      <c r="WXN93" s="456" t="s">
        <v>116</v>
      </c>
      <c r="WXO93" s="456" t="s">
        <v>116</v>
      </c>
      <c r="WXP93" s="456" t="s">
        <v>116</v>
      </c>
      <c r="WXQ93" s="456" t="s">
        <v>116</v>
      </c>
      <c r="WXR93" s="456" t="s">
        <v>116</v>
      </c>
      <c r="WXS93" s="456" t="s">
        <v>116</v>
      </c>
      <c r="WXT93" s="456" t="s">
        <v>116</v>
      </c>
      <c r="WXU93" s="456" t="s">
        <v>116</v>
      </c>
      <c r="WXV93" s="456" t="s">
        <v>116</v>
      </c>
      <c r="WXW93" s="456" t="s">
        <v>116</v>
      </c>
      <c r="WXX93" s="456" t="s">
        <v>116</v>
      </c>
      <c r="WXY93" s="456" t="s">
        <v>116</v>
      </c>
      <c r="WXZ93" s="456" t="s">
        <v>116</v>
      </c>
      <c r="WYA93" s="456" t="s">
        <v>116</v>
      </c>
      <c r="WYB93" s="456" t="s">
        <v>116</v>
      </c>
      <c r="WYC93" s="456" t="s">
        <v>116</v>
      </c>
      <c r="WYD93" s="456" t="s">
        <v>116</v>
      </c>
      <c r="WYE93" s="456" t="s">
        <v>116</v>
      </c>
      <c r="WYF93" s="456" t="s">
        <v>116</v>
      </c>
      <c r="WYG93" s="456" t="s">
        <v>116</v>
      </c>
      <c r="WYH93" s="456" t="s">
        <v>116</v>
      </c>
      <c r="WYI93" s="456" t="s">
        <v>116</v>
      </c>
      <c r="WYJ93" s="456" t="s">
        <v>116</v>
      </c>
      <c r="WYK93" s="456" t="s">
        <v>116</v>
      </c>
      <c r="WYL93" s="456" t="s">
        <v>116</v>
      </c>
      <c r="WYM93" s="456" t="s">
        <v>116</v>
      </c>
      <c r="WYN93" s="456" t="s">
        <v>116</v>
      </c>
      <c r="WYO93" s="456" t="s">
        <v>116</v>
      </c>
      <c r="WYP93" s="456" t="s">
        <v>116</v>
      </c>
      <c r="WYQ93" s="456" t="s">
        <v>116</v>
      </c>
      <c r="WYR93" s="456" t="s">
        <v>116</v>
      </c>
      <c r="WYS93" s="456" t="s">
        <v>116</v>
      </c>
      <c r="WYT93" s="456" t="s">
        <v>116</v>
      </c>
      <c r="WYU93" s="456" t="s">
        <v>116</v>
      </c>
      <c r="WYV93" s="456" t="s">
        <v>116</v>
      </c>
      <c r="WYW93" s="456" t="s">
        <v>116</v>
      </c>
      <c r="WYX93" s="456" t="s">
        <v>116</v>
      </c>
      <c r="WYY93" s="456" t="s">
        <v>116</v>
      </c>
      <c r="WYZ93" s="456" t="s">
        <v>116</v>
      </c>
      <c r="WZA93" s="456" t="s">
        <v>116</v>
      </c>
      <c r="WZB93" s="456" t="s">
        <v>116</v>
      </c>
      <c r="WZC93" s="456" t="s">
        <v>116</v>
      </c>
      <c r="WZD93" s="456" t="s">
        <v>116</v>
      </c>
      <c r="WZE93" s="456" t="s">
        <v>116</v>
      </c>
      <c r="WZF93" s="456" t="s">
        <v>116</v>
      </c>
      <c r="WZG93" s="456" t="s">
        <v>116</v>
      </c>
      <c r="WZH93" s="456" t="s">
        <v>116</v>
      </c>
      <c r="WZI93" s="456" t="s">
        <v>116</v>
      </c>
      <c r="WZJ93" s="456" t="s">
        <v>116</v>
      </c>
      <c r="WZK93" s="456" t="s">
        <v>116</v>
      </c>
      <c r="WZL93" s="456" t="s">
        <v>116</v>
      </c>
      <c r="WZM93" s="456" t="s">
        <v>116</v>
      </c>
      <c r="WZN93" s="456" t="s">
        <v>116</v>
      </c>
      <c r="WZO93" s="456" t="s">
        <v>116</v>
      </c>
      <c r="WZP93" s="456" t="s">
        <v>116</v>
      </c>
      <c r="WZQ93" s="456" t="s">
        <v>116</v>
      </c>
      <c r="WZR93" s="456" t="s">
        <v>116</v>
      </c>
      <c r="WZS93" s="456" t="s">
        <v>116</v>
      </c>
      <c r="WZT93" s="456" t="s">
        <v>116</v>
      </c>
      <c r="WZU93" s="456" t="s">
        <v>116</v>
      </c>
      <c r="WZV93" s="456" t="s">
        <v>116</v>
      </c>
      <c r="WZW93" s="456" t="s">
        <v>116</v>
      </c>
      <c r="WZX93" s="456" t="s">
        <v>116</v>
      </c>
      <c r="WZY93" s="456" t="s">
        <v>116</v>
      </c>
      <c r="WZZ93" s="456" t="s">
        <v>116</v>
      </c>
      <c r="XAA93" s="456" t="s">
        <v>116</v>
      </c>
      <c r="XAB93" s="456" t="s">
        <v>116</v>
      </c>
      <c r="XAC93" s="456" t="s">
        <v>116</v>
      </c>
      <c r="XAD93" s="456" t="s">
        <v>116</v>
      </c>
      <c r="XAE93" s="456" t="s">
        <v>116</v>
      </c>
      <c r="XAF93" s="456" t="s">
        <v>116</v>
      </c>
      <c r="XAG93" s="456" t="s">
        <v>116</v>
      </c>
      <c r="XAH93" s="456" t="s">
        <v>116</v>
      </c>
      <c r="XAI93" s="456" t="s">
        <v>116</v>
      </c>
      <c r="XAJ93" s="456" t="s">
        <v>116</v>
      </c>
      <c r="XAK93" s="456" t="s">
        <v>116</v>
      </c>
      <c r="XAL93" s="456" t="s">
        <v>116</v>
      </c>
      <c r="XAM93" s="456" t="s">
        <v>116</v>
      </c>
      <c r="XAN93" s="456" t="s">
        <v>116</v>
      </c>
      <c r="XAO93" s="456" t="s">
        <v>116</v>
      </c>
      <c r="XAP93" s="456" t="s">
        <v>116</v>
      </c>
      <c r="XAQ93" s="456" t="s">
        <v>116</v>
      </c>
      <c r="XAR93" s="456" t="s">
        <v>116</v>
      </c>
      <c r="XAS93" s="456" t="s">
        <v>116</v>
      </c>
      <c r="XAT93" s="456" t="s">
        <v>116</v>
      </c>
      <c r="XAU93" s="456" t="s">
        <v>116</v>
      </c>
      <c r="XAV93" s="456" t="s">
        <v>116</v>
      </c>
      <c r="XAW93" s="456" t="s">
        <v>116</v>
      </c>
      <c r="XAX93" s="456" t="s">
        <v>116</v>
      </c>
      <c r="XAY93" s="456" t="s">
        <v>116</v>
      </c>
      <c r="XAZ93" s="456" t="s">
        <v>116</v>
      </c>
      <c r="XBA93" s="456" t="s">
        <v>116</v>
      </c>
      <c r="XBB93" s="456" t="s">
        <v>116</v>
      </c>
      <c r="XBC93" s="456" t="s">
        <v>116</v>
      </c>
      <c r="XBD93" s="456" t="s">
        <v>116</v>
      </c>
      <c r="XBE93" s="456" t="s">
        <v>116</v>
      </c>
      <c r="XBF93" s="456" t="s">
        <v>116</v>
      </c>
      <c r="XBG93" s="456" t="s">
        <v>116</v>
      </c>
      <c r="XBH93" s="456" t="s">
        <v>116</v>
      </c>
      <c r="XBI93" s="456" t="s">
        <v>116</v>
      </c>
      <c r="XBJ93" s="456" t="s">
        <v>116</v>
      </c>
      <c r="XBK93" s="456" t="s">
        <v>116</v>
      </c>
      <c r="XBL93" s="456" t="s">
        <v>116</v>
      </c>
      <c r="XBM93" s="456" t="s">
        <v>116</v>
      </c>
      <c r="XBN93" s="456" t="s">
        <v>116</v>
      </c>
      <c r="XBO93" s="456" t="s">
        <v>116</v>
      </c>
      <c r="XBP93" s="456" t="s">
        <v>116</v>
      </c>
      <c r="XBQ93" s="456" t="s">
        <v>116</v>
      </c>
      <c r="XBR93" s="456" t="s">
        <v>116</v>
      </c>
      <c r="XBS93" s="456" t="s">
        <v>116</v>
      </c>
      <c r="XBT93" s="456" t="s">
        <v>116</v>
      </c>
      <c r="XBU93" s="456" t="s">
        <v>116</v>
      </c>
      <c r="XBV93" s="456" t="s">
        <v>116</v>
      </c>
      <c r="XBW93" s="456" t="s">
        <v>116</v>
      </c>
      <c r="XBX93" s="456" t="s">
        <v>116</v>
      </c>
      <c r="XBY93" s="456" t="s">
        <v>116</v>
      </c>
      <c r="XBZ93" s="456" t="s">
        <v>116</v>
      </c>
      <c r="XCA93" s="456" t="s">
        <v>116</v>
      </c>
      <c r="XCB93" s="456" t="s">
        <v>116</v>
      </c>
      <c r="XCC93" s="456" t="s">
        <v>116</v>
      </c>
      <c r="XCD93" s="456" t="s">
        <v>116</v>
      </c>
      <c r="XCE93" s="456" t="s">
        <v>116</v>
      </c>
      <c r="XCF93" s="456" t="s">
        <v>116</v>
      </c>
      <c r="XCG93" s="456" t="s">
        <v>116</v>
      </c>
      <c r="XCH93" s="456" t="s">
        <v>116</v>
      </c>
      <c r="XCI93" s="456" t="s">
        <v>116</v>
      </c>
      <c r="XCJ93" s="456" t="s">
        <v>116</v>
      </c>
      <c r="XCK93" s="456" t="s">
        <v>116</v>
      </c>
      <c r="XCL93" s="456" t="s">
        <v>116</v>
      </c>
      <c r="XCM93" s="456" t="s">
        <v>116</v>
      </c>
      <c r="XCN93" s="456" t="s">
        <v>116</v>
      </c>
      <c r="XCO93" s="456" t="s">
        <v>116</v>
      </c>
      <c r="XCP93" s="456" t="s">
        <v>116</v>
      </c>
      <c r="XCQ93" s="456" t="s">
        <v>116</v>
      </c>
      <c r="XCR93" s="456" t="s">
        <v>116</v>
      </c>
      <c r="XCS93" s="456" t="s">
        <v>116</v>
      </c>
      <c r="XCT93" s="456" t="s">
        <v>116</v>
      </c>
      <c r="XCU93" s="456" t="s">
        <v>116</v>
      </c>
      <c r="XCV93" s="456" t="s">
        <v>116</v>
      </c>
      <c r="XCW93" s="456" t="s">
        <v>116</v>
      </c>
      <c r="XCX93" s="456" t="s">
        <v>116</v>
      </c>
      <c r="XCY93" s="456" t="s">
        <v>116</v>
      </c>
      <c r="XCZ93" s="456" t="s">
        <v>116</v>
      </c>
      <c r="XDA93" s="456" t="s">
        <v>116</v>
      </c>
      <c r="XDB93" s="456" t="s">
        <v>116</v>
      </c>
      <c r="XDC93" s="456" t="s">
        <v>116</v>
      </c>
      <c r="XDD93" s="456" t="s">
        <v>116</v>
      </c>
      <c r="XDE93" s="456" t="s">
        <v>116</v>
      </c>
      <c r="XDF93" s="456" t="s">
        <v>116</v>
      </c>
      <c r="XDG93" s="456" t="s">
        <v>116</v>
      </c>
      <c r="XDH93" s="456" t="s">
        <v>116</v>
      </c>
      <c r="XDI93" s="456" t="s">
        <v>116</v>
      </c>
      <c r="XDJ93" s="456" t="s">
        <v>116</v>
      </c>
      <c r="XDK93" s="456" t="s">
        <v>116</v>
      </c>
      <c r="XDL93" s="456" t="s">
        <v>116</v>
      </c>
      <c r="XDM93" s="456" t="s">
        <v>116</v>
      </c>
      <c r="XDN93" s="456" t="s">
        <v>116</v>
      </c>
      <c r="XDO93" s="456" t="s">
        <v>116</v>
      </c>
      <c r="XDP93" s="456" t="s">
        <v>116</v>
      </c>
      <c r="XDQ93" s="456" t="s">
        <v>116</v>
      </c>
      <c r="XDR93" s="456" t="s">
        <v>116</v>
      </c>
      <c r="XDS93" s="456" t="s">
        <v>116</v>
      </c>
      <c r="XDT93" s="456" t="s">
        <v>116</v>
      </c>
      <c r="XDU93" s="456" t="s">
        <v>116</v>
      </c>
      <c r="XDV93" s="456" t="s">
        <v>116</v>
      </c>
      <c r="XDW93" s="456" t="s">
        <v>116</v>
      </c>
      <c r="XDX93" s="456" t="s">
        <v>116</v>
      </c>
      <c r="XDY93" s="456" t="s">
        <v>116</v>
      </c>
      <c r="XDZ93" s="456" t="s">
        <v>116</v>
      </c>
      <c r="XEA93" s="456" t="s">
        <v>116</v>
      </c>
      <c r="XEB93" s="456" t="s">
        <v>116</v>
      </c>
      <c r="XEC93" s="456" t="s">
        <v>116</v>
      </c>
      <c r="XED93" s="456" t="s">
        <v>116</v>
      </c>
      <c r="XEE93" s="456" t="s">
        <v>116</v>
      </c>
      <c r="XEF93" s="456" t="s">
        <v>116</v>
      </c>
      <c r="XEG93" s="456" t="s">
        <v>116</v>
      </c>
      <c r="XEH93" s="456" t="s">
        <v>116</v>
      </c>
      <c r="XEI93" s="456" t="s">
        <v>116</v>
      </c>
      <c r="XEJ93" s="456" t="s">
        <v>116</v>
      </c>
      <c r="XEK93" s="456" t="s">
        <v>116</v>
      </c>
      <c r="XEL93" s="456" t="s">
        <v>116</v>
      </c>
      <c r="XEM93" s="456" t="s">
        <v>116</v>
      </c>
      <c r="XEN93" s="456" t="s">
        <v>116</v>
      </c>
      <c r="XEO93" s="456" t="s">
        <v>116</v>
      </c>
      <c r="XEP93" s="456" t="s">
        <v>116</v>
      </c>
      <c r="XEQ93" s="456" t="s">
        <v>116</v>
      </c>
      <c r="XER93" s="456" t="s">
        <v>116</v>
      </c>
      <c r="XES93" s="456" t="s">
        <v>116</v>
      </c>
      <c r="XET93" s="456" t="s">
        <v>116</v>
      </c>
      <c r="XEU93" s="456" t="s">
        <v>116</v>
      </c>
      <c r="XEV93" s="456" t="s">
        <v>116</v>
      </c>
      <c r="XEW93" s="456" t="s">
        <v>116</v>
      </c>
      <c r="XEX93" s="456" t="s">
        <v>116</v>
      </c>
      <c r="XEY93" s="456" t="s">
        <v>116</v>
      </c>
      <c r="XEZ93" s="456" t="s">
        <v>116</v>
      </c>
      <c r="XFA93" s="456" t="s">
        <v>116</v>
      </c>
      <c r="XFB93" s="456" t="s">
        <v>116</v>
      </c>
      <c r="XFC93" s="456" t="s">
        <v>116</v>
      </c>
      <c r="XFD93" s="456" t="s">
        <v>116</v>
      </c>
    </row>
    <row r="94" spans="1:16384">
      <c r="A94" s="454" t="s">
        <v>121</v>
      </c>
    </row>
    <row r="95" spans="1:16384">
      <c r="A95" s="454" t="s">
        <v>122</v>
      </c>
    </row>
    <row r="96" spans="1:16384">
      <c r="A96" s="454" t="s">
        <v>123</v>
      </c>
    </row>
    <row r="97" spans="1:1">
      <c r="A97" s="454" t="s">
        <v>124</v>
      </c>
    </row>
    <row r="98" spans="1:1">
      <c r="A98" s="454" t="s">
        <v>125</v>
      </c>
    </row>
    <row r="99" spans="1:1">
      <c r="A99" s="454" t="s">
        <v>126</v>
      </c>
    </row>
    <row r="100" spans="1:1">
      <c r="A100" s="454" t="s">
        <v>127</v>
      </c>
    </row>
    <row r="101" spans="1:1">
      <c r="A101" s="454" t="s">
        <v>128</v>
      </c>
    </row>
    <row r="102" spans="1:1">
      <c r="A102" s="454" t="s">
        <v>129</v>
      </c>
    </row>
    <row r="103" spans="1:1" ht="12" customHeight="1">
      <c r="A103" s="454" t="s">
        <v>130</v>
      </c>
    </row>
    <row r="104" spans="1:1">
      <c r="A104" s="456"/>
    </row>
    <row r="105" spans="1:1">
      <c r="A105" s="453" t="s">
        <v>131</v>
      </c>
    </row>
    <row r="106" spans="1:1" ht="4.5" customHeight="1">
      <c r="A106" s="453"/>
    </row>
    <row r="107" spans="1:1">
      <c r="A107" s="454" t="s">
        <v>132</v>
      </c>
    </row>
    <row r="108" spans="1:1">
      <c r="A108" s="454" t="s">
        <v>133</v>
      </c>
    </row>
    <row r="109" spans="1:1">
      <c r="A109" s="454" t="s">
        <v>134</v>
      </c>
    </row>
    <row r="110" spans="1:1">
      <c r="A110" s="454" t="s">
        <v>135</v>
      </c>
    </row>
    <row r="111" spans="1:1">
      <c r="A111" s="454" t="s">
        <v>136</v>
      </c>
    </row>
    <row r="112" spans="1:1">
      <c r="A112" s="454" t="s">
        <v>137</v>
      </c>
    </row>
    <row r="113" spans="1:1">
      <c r="A113" s="454" t="s">
        <v>138</v>
      </c>
    </row>
    <row r="114" spans="1:1">
      <c r="A114" s="454" t="s">
        <v>139</v>
      </c>
    </row>
    <row r="115" spans="1:1">
      <c r="A115" s="454" t="s">
        <v>140</v>
      </c>
    </row>
    <row r="116" spans="1:1" ht="16.5" customHeight="1">
      <c r="A116" s="456"/>
    </row>
    <row r="117" spans="1:1">
      <c r="A117" s="453" t="s">
        <v>141</v>
      </c>
    </row>
    <row r="118" spans="1:1" ht="4.5" customHeight="1">
      <c r="A118" s="453"/>
    </row>
    <row r="119" spans="1:1">
      <c r="A119" s="454" t="s">
        <v>142</v>
      </c>
    </row>
    <row r="120" spans="1:1">
      <c r="A120" s="454" t="s">
        <v>143</v>
      </c>
    </row>
    <row r="121" spans="1:1" ht="13.5" customHeight="1">
      <c r="A121" s="454" t="s">
        <v>144</v>
      </c>
    </row>
    <row r="123" spans="1:1">
      <c r="A123" s="451" t="s">
        <v>145</v>
      </c>
    </row>
    <row r="124" spans="1:1" ht="9.75" customHeight="1">
      <c r="A124" s="451"/>
    </row>
    <row r="125" spans="1:1">
      <c r="A125" s="459" t="s">
        <v>146</v>
      </c>
    </row>
    <row r="126" spans="1:1" ht="6" customHeight="1">
      <c r="A126" s="459"/>
    </row>
    <row r="127" spans="1:1">
      <c r="A127" s="454" t="s">
        <v>147</v>
      </c>
    </row>
    <row r="128" spans="1:1">
      <c r="A128" s="454" t="s">
        <v>148</v>
      </c>
    </row>
    <row r="129" spans="1:1">
      <c r="A129" s="454" t="s">
        <v>149</v>
      </c>
    </row>
    <row r="130" spans="1:1">
      <c r="A130" s="454" t="s">
        <v>150</v>
      </c>
    </row>
    <row r="131" spans="1:1" ht="8.25" customHeight="1">
      <c r="A131" s="456"/>
    </row>
    <row r="132" spans="1:1">
      <c r="A132" s="459" t="s">
        <v>151</v>
      </c>
    </row>
    <row r="133" spans="1:1" ht="4.5" customHeight="1">
      <c r="A133" s="456"/>
    </row>
    <row r="134" spans="1:1">
      <c r="A134" s="454" t="s">
        <v>152</v>
      </c>
    </row>
    <row r="135" spans="1:1">
      <c r="A135" s="454" t="s">
        <v>153</v>
      </c>
    </row>
    <row r="136" spans="1:1">
      <c r="A136" s="454" t="s">
        <v>154</v>
      </c>
    </row>
    <row r="137" spans="1:1">
      <c r="A137" s="454" t="s">
        <v>155</v>
      </c>
    </row>
    <row r="138" spans="1:1">
      <c r="A138" s="454" t="s">
        <v>156</v>
      </c>
    </row>
    <row r="139" spans="1:1" ht="10.5" customHeight="1"/>
    <row r="140" spans="1:1" ht="14.25" customHeight="1">
      <c r="A140" s="460" t="s">
        <v>157</v>
      </c>
    </row>
    <row r="141" spans="1:1" ht="21.75" customHeight="1">
      <c r="A141" s="454" t="s">
        <v>158</v>
      </c>
    </row>
    <row r="142" spans="1:1">
      <c r="A142" s="454" t="s">
        <v>159</v>
      </c>
    </row>
    <row r="143" spans="1:1">
      <c r="A143" s="454" t="s">
        <v>160</v>
      </c>
    </row>
    <row r="144" spans="1:1">
      <c r="A144" s="454" t="s">
        <v>161</v>
      </c>
    </row>
    <row r="145" spans="1:1">
      <c r="A145" s="454" t="s">
        <v>162</v>
      </c>
    </row>
    <row r="146" spans="1:1">
      <c r="A146" s="454" t="s">
        <v>163</v>
      </c>
    </row>
    <row r="147" spans="1:1">
      <c r="A147" s="454" t="s">
        <v>164</v>
      </c>
    </row>
    <row r="148" spans="1:1">
      <c r="A148" s="454" t="s">
        <v>165</v>
      </c>
    </row>
    <row r="149" spans="1:1">
      <c r="A149" s="454" t="s">
        <v>166</v>
      </c>
    </row>
    <row r="150" spans="1:1" ht="7.5" customHeight="1">
      <c r="A150" s="458"/>
    </row>
    <row r="151" spans="1:1">
      <c r="A151" s="451" t="s">
        <v>167</v>
      </c>
    </row>
    <row r="152" spans="1:1" ht="10.5" customHeight="1"/>
    <row r="153" spans="1:1" ht="12" customHeight="1">
      <c r="A153" s="454" t="s">
        <v>168</v>
      </c>
    </row>
    <row r="154" spans="1:1" ht="12" customHeight="1">
      <c r="A154" s="454" t="s">
        <v>169</v>
      </c>
    </row>
    <row r="155" spans="1:1">
      <c r="A155" s="454" t="s">
        <v>170</v>
      </c>
    </row>
    <row r="156" spans="1:1">
      <c r="A156" s="454" t="s">
        <v>171</v>
      </c>
    </row>
    <row r="157" spans="1:1" ht="9" customHeight="1"/>
    <row r="159" spans="1:1">
      <c r="A159" s="448" t="s">
        <v>1</v>
      </c>
    </row>
  </sheetData>
  <hyperlinks>
    <hyperlink ref="A7" location="'I.1. Ley 87-01 (2)'!A1" display="I.1 Ley 87-01" xr:uid="{00000000-0004-0000-0400-000000000000}"/>
    <hyperlink ref="A8" location="'I.2. Org. SDSS'!A1" display="I.2 Organización del Sistema" xr:uid="{00000000-0004-0000-0400-000001000000}"/>
    <hyperlink ref="A9" location="'I.3. Reg. y Seg.'!A1" display="I.3 Regímenes y Seguros del SDSS" xr:uid="{00000000-0004-0000-0400-000002000000}"/>
    <hyperlink ref="A10" location="'I.4. Seg. y Ben.'!A1" display="I.4 Seguros y Beneficios del SDSS" xr:uid="{00000000-0004-0000-0400-000003000000}"/>
    <hyperlink ref="A13" location="'II.1. SDSS.Definición'!A1" display="II.1 Definiciones del SDSS" xr:uid="{00000000-0004-0000-0400-000004000000}"/>
    <hyperlink ref="A14" location="'II.2.Analisis SDSS'!A1" display="II.2 Análisis de las Empresas del SDSS" xr:uid="{00000000-0004-0000-0400-000005000000}"/>
    <hyperlink ref="A15" location="'II.3. Empl x sector '!A1" display="II.3 Empresas y Empleados Afiliados Activos al SDSS por Sector" xr:uid="{00000000-0004-0000-0400-000006000000}"/>
    <hyperlink ref="A16" location="' II.4.Empr x No. de empl'!A1" display="II.4 Empresas Afiliadas al SDSS, por Cantidad de Empleados Registrados en TSS" xr:uid="{00000000-0004-0000-0400-000007000000}"/>
    <hyperlink ref="A17" location="'II.5 Salario prom.'!A1" display="II.5 Salario Promedio Mensual de los Empleados Afiliados Activos al SDSS, por Sector" xr:uid="{00000000-0004-0000-0400-000008000000}"/>
    <hyperlink ref="A18" location="'II.6.Empl xsexoy edad'!A1" display="II.6 Trabajadores Afiliados Activos al SDSS, por Sexo y Edad" xr:uid="{00000000-0004-0000-0400-000009000000}"/>
    <hyperlink ref="A24" location="'III.1.1a. Def. Afil. SFS1'!A1" display="III.1.1 Definiciones del SFS" xr:uid="{00000000-0004-0000-0400-00000A000000}"/>
    <hyperlink ref="A25" location="'III.1.2.Analisis SFS'!A1" display="III.1.2 Análisis de Afiliación del SFS" xr:uid="{00000000-0004-0000-0400-00000B000000}"/>
    <hyperlink ref="A26" location="III.1.3.Afil.SFSPob.Nac.!A1" display="III.1.3 Afiliación del SFS a la Población Nacional" xr:uid="{00000000-0004-0000-0400-00000C000000}"/>
    <hyperlink ref="A27" location="'III.1.4.Afil. SFS'!A1" display="III.1.4 Afiliación del SFS por Régimen de Financiamiento" xr:uid="{00000000-0004-0000-0400-00000D000000}"/>
    <hyperlink ref="A28" location="'III.1.5.Cob.Afil. SFS '!A1" display="III.1.5 Cobertura de Afiliación al SFS por Régimen de Financiamiento" xr:uid="{00000000-0004-0000-0400-00000E000000}"/>
    <hyperlink ref="A29" location="'III.1.6.Afil. SFS x sexo'!A1" display="III.1.6 Afiliación al SFS por Sexo" xr:uid="{00000000-0004-0000-0400-00000F000000}"/>
    <hyperlink ref="A33" location="'III.2.1.Afil. SFS.RC '!A1" display="III.2.2 Análisis de Afiliación del SFS del RC" xr:uid="{00000000-0004-0000-0400-000010000000}"/>
    <hyperlink ref="A34" location="'III.2.2. Afil. SFS RC Anual '!A1" display="III.2.2 Afiliación Anual por Tipo al SFS del Régimen Contributivo (RC)" xr:uid="{00000000-0004-0000-0400-000011000000}"/>
    <hyperlink ref="A33:XFD33" location="'III.2.1.Afil. SFS.RC '!A1" display="III.2.1 Análisis de Afiliación del SFS del RC" xr:uid="{00000000-0004-0000-0400-000012000000}"/>
    <hyperlink ref="A35" location="'III.2.3. Afil. SFS RC Mensual'!A1" display="III.2.3 Afiliación Mensual por Tipo al SFS del Régimen Contributivo (RC)" xr:uid="{00000000-0004-0000-0400-000013000000}"/>
    <hyperlink ref="A36" location="'III.2.4.Cob.Afil. SFS RC Anual'!A1" display="III.2.4 Cobertura de Afiliación  Anual por Tipo del Régimen Contributivo (RC)" xr:uid="{00000000-0004-0000-0400-000014000000}"/>
    <hyperlink ref="A37" location="' III.2.5.Cob.Afil.SFSRC Mens'!A1" display="III.2.5 Cobertura de Afiliación Mensual por Tipo del Régimen Contributivo (RC)" xr:uid="{00000000-0004-0000-0400-000015000000}"/>
    <hyperlink ref="A38" location="'III.2.6.Afil. SFS RC X sex.tipo'!A1" display="III.2.6 Afiliados al SFS del RC por Sexo y Tipo" xr:uid="{00000000-0004-0000-0400-000016000000}"/>
    <hyperlink ref="A42" location="'III.3.1.Analis.Afil. SFS.RS1  '!A1" display="III.3.1 Definiciones y Análisis de Afiliación del SFS del RS" xr:uid="{00000000-0004-0000-0400-000017000000}"/>
    <hyperlink ref="A43" location="'III.3.2. Afil anual SFS RS '!A1" display="III.3.2 Afiliación Anual al SFS del Régimen Subsidiado (RS) por Tipo" xr:uid="{00000000-0004-0000-0400-000018000000}"/>
    <hyperlink ref="A44" location="' III.3.3.Afil.mensual SFS RS '!A1" display="III.3.3 Afiliación Mensual al SFS del Régimen Subsidiado (RS) por Tipo" xr:uid="{00000000-0004-0000-0400-000019000000}"/>
    <hyperlink ref="A45" location="'III.3.4.Cob.Afil anual SFS RS'!A1" display="III.3.4 Cobertura de Afiliación Anual al SFS el Régimen Subsidiado (RS) por Tipo " xr:uid="{00000000-0004-0000-0400-00001A000000}"/>
    <hyperlink ref="A46" location="'III.3.5.Cob.Afil.mens.SFS RS '!A1" display="III.3.5 Cobertura de Afiliación Mensual al SFS el Régimen Subsidiado (RS) por Tipo " xr:uid="{00000000-0004-0000-0400-00001B000000}"/>
    <hyperlink ref="A47" location="'III.3.6.Afil.SFSRSsex tipo '!A1" display="III.3.6 Afiliados al SFS el Régimen Subsidiado (RS) por Sexo y Tipo de Afiliación" xr:uid="{00000000-0004-0000-0400-00001C000000}"/>
    <hyperlink ref="A51" location="III.4.1.Afil.RET1!A1" display="III.4.1 Definiciones y Análisis del RET " xr:uid="{00000000-0004-0000-0400-00001D000000}"/>
    <hyperlink ref="A52" location="' III.4.2.Afil. SFSP Anual.'!A1" display="III.4.2 Afiliación Anual de Pensionados al SFS" xr:uid="{00000000-0004-0000-0400-00001E000000}"/>
    <hyperlink ref="A53" location="' III.4.3.Afil. SFSP Mensual'!A1" display="III.4.3 Afiliación Mensual de Pensionados al SFS" xr:uid="{00000000-0004-0000-0400-00001F000000}"/>
    <hyperlink ref="A54" location="' III.4.4.Cob.Afil. SFSP Mensual'!A1" display="III.4.4 Cobertura Afiliación Mensual de Pensionados al SFS" xr:uid="{00000000-0004-0000-0400-000020000000}"/>
    <hyperlink ref="A58" location="'III.5.1.Definición Afil. SVDS'!A1" display="III.5.1  Definiciones del SVDS" xr:uid="{00000000-0004-0000-0400-000021000000}"/>
    <hyperlink ref="A59" location="'III.5.2.Analisis Afil. SVDS'!A1" display="III.5.2  Análisis de Afiliación del SVDS" xr:uid="{00000000-0004-0000-0400-000022000000}"/>
    <hyperlink ref="A60" location="'III.5.3.Afil. SVDS'!A1" display="III.5.3 Cantidad de Afiliados y Cotizantes Anual del RC" xr:uid="{00000000-0004-0000-0400-000023000000}"/>
    <hyperlink ref="A61" location="'III.5.4.Afil. SVDS mensual'!A1" display="III.5.4  Afiliación Mensual al SVDS del RC" xr:uid="{00000000-0004-0000-0400-000024000000}"/>
    <hyperlink ref="A62" location="'III.5.5.Afil. cotiz.'!A1" display="III.5.5  Comparación Anual del Número de Afiliados Cotizantes con la Población Ocupada Formal" xr:uid="{00000000-0004-0000-0400-000025000000}"/>
    <hyperlink ref="A63" location="'III.5.6.Cotiz. x rango de edad'!A1" display="III.5.6  Cotizantes del SVDS por Rango de Edad" xr:uid="{00000000-0004-0000-0400-000026000000}"/>
    <hyperlink ref="A64" location="'III.5.7.Cotiz x sal. min. cot.'!A1" display="III.5.7  Cotizantes del SVDS por Cantidad de Salario Mínimo Cotizable" xr:uid="{00000000-0004-0000-0400-000027000000}"/>
    <hyperlink ref="A65" location="'III.5.8.Cotiz.x AFP y fondos'!A1" display="III.5.8  Distribución de los Afiliados Cotizantes por AFP`s y Fondos de Reparto" xr:uid="{00000000-0004-0000-0400-000028000000}"/>
    <hyperlink ref="A66" location="III.5.9.PEA_Pensiones_Género!A1" display="III.5.9  Población Económicamente Activa Afiliada al SVDS por Género" xr:uid="{00000000-0004-0000-0400-000029000000}"/>
    <hyperlink ref="A67" location="'III.5.10.Cot.Afil X Sexo'!A1" display="III.5.10 Afiliados y Cotizantes del SVDS por Género" xr:uid="{00000000-0004-0000-0400-00002A000000}"/>
    <hyperlink ref="A68" location="'III.5.11.Traspasos anual'!A1" display="III.5.11  Traspaso Totales por Año" xr:uid="{00000000-0004-0000-0400-00002B000000}"/>
    <hyperlink ref="A69" location="'III.5.12.Trasp. recibidos'!A1" display="III.5.12 Traspasos Recibidos en Entidades de CCI y Reparto" xr:uid="{00000000-0004-0000-0400-00002C000000}"/>
    <hyperlink ref="A70" location="'III.5.13.Trasp. cedidos'!A1" display="III.5.13 Traspaso Cedidos en Entidades de CCI y Reparto" xr:uid="{00000000-0004-0000-0400-00002D000000}"/>
    <hyperlink ref="A71" location="'III.5.14.Trasp. netos'!A1" display="III.5.14 Traspaso Netos en Entidades de CCI y Reparto" xr:uid="{00000000-0004-0000-0400-00002E000000}"/>
    <hyperlink ref="A72" location="'III.5.15.Afil. SVDSxprov.'!A1" display="III.5.15 Distribución de Afiliados de las AFP por Provincias" xr:uid="{00000000-0004-0000-0400-00002F000000}"/>
    <hyperlink ref="A76" location="'III.6.1.Definición Afil. SRL'!A1" display="III.6.1 Definiciones de SRL" xr:uid="{00000000-0004-0000-0400-000030000000}"/>
    <hyperlink ref="A77" location="'III.6.2.Afil. SRL.RC1 '!A1" display="III.6.2 Análisis de la Afiliación del SRL" xr:uid="{00000000-0004-0000-0400-000031000000}"/>
    <hyperlink ref="A78" location="'III.6.3.Afil. SRL'!A1" display="III.6.3 Comparativo Afiliación al SRL en Relación a la Población Ocupada en el Sector Formal" xr:uid="{00000000-0004-0000-0400-000032000000}"/>
    <hyperlink ref="A79" location="'III.6.4.Afil. SRL x sexoy edad'!A1" display="III.6.4 Afiliación al SRL por Grupo de Edad y Género" xr:uid="{00000000-0004-0000-0400-000033000000}"/>
    <hyperlink ref="A80" location="'III.6.5.Afil. ARL x riesgo'!A1" display="III.6.5 Empleados Afiliados Activos al SDSS por Tipo de Riesgos Laborales de sus Empresas" xr:uid="{00000000-0004-0000-0400-000034000000}"/>
    <hyperlink ref="A81" location="'III.6.6.ID. Accidentabilidad'!A1" display="III.6.6 Accidentabilidad Laboral de los Afiliados al SRL" xr:uid="{00000000-0004-0000-0400-000035000000}"/>
    <hyperlink ref="A86" location="'IV.1a.Definición Ing.Gastos)'!A1" display="IV.I.1  Definiciones Ingresos y Egresos del SDSS" xr:uid="{00000000-0004-0000-0400-000036000000}"/>
    <hyperlink ref="A87" location="'IV.1.2. Analisis Ing.Egr'!A1" display="IV.I.2  Análisis de Ingresos y Egresos del SDSS" xr:uid="{00000000-0004-0000-0400-000037000000}"/>
    <hyperlink ref="A88" location="'IV.1.3. Ingr y egr SDSS'!A1" display="IV.I.3  Ingreso y egreso Anuales del SDSS" xr:uid="{00000000-0004-0000-0400-000038000000}"/>
    <hyperlink ref="A89" location="'IV.1.4. Recaudo x sector'!A1" display="IV.I.4  Recaudo del RC del SDSS por Origen por Sector Económico" xr:uid="{00000000-0004-0000-0400-000039000000}"/>
    <hyperlink ref="A93" location="'IV.2.1 AnálisisIng.Egr.Seg'!A1" display="IV.2.1  Análisis de Ingresos y Egresos por Seguros" xr:uid="{00000000-0004-0000-0400-00003A000000}"/>
    <hyperlink ref="A94" location="'IV.2.2. Pagos SFS A'!A1" display="IV.2.2  Fondos Pagados Anualmente por Cuentas al SFS del RC" xr:uid="{00000000-0004-0000-0400-00003B000000}"/>
    <hyperlink ref="A95" location="'IV.2.3.Pagos_SFS M'!A1" display="IV.2.3  Fondos Pagados Mensualmente por Cuentas al SFS del RC" xr:uid="{00000000-0004-0000-0400-00003C000000}"/>
    <hyperlink ref="A96" location="'IV.2.4.Pagos x ARS 2'!A1" display="IV.2.4  Fondos Pagados a las ARS del SFS del RC" xr:uid="{00000000-0004-0000-0400-00003D000000}"/>
    <hyperlink ref="A97" location="'IV.2.5.Pagos x ARS'!A1" display="IV.2.5  Fondos Pagados del RC a las ARS del SFS" xr:uid="{00000000-0004-0000-0400-00003E000000}"/>
    <hyperlink ref="A98" location="'IV.2.6.INV_SFS x Entidad'!A1" display="IV.2.6 Distribución de las Inversiones de la Cuenta de la Salud por Instrumento" xr:uid="{00000000-0004-0000-0400-00003F000000}"/>
    <hyperlink ref="A99" location="'IV.2.6.INV_SFS x Entidad'!A1" display="IV.2.7 Distribución de las Inversiones del SFS del RC" xr:uid="{00000000-0004-0000-0400-000040000000}"/>
    <hyperlink ref="A100" location="'IV.2.8.Aport. GOB. y Pagos RS'!A1" display="IV.2.8 Aportes del Gobierno Central y Pago a SENASA" xr:uid="{00000000-0004-0000-0400-000041000000}"/>
    <hyperlink ref="A101" location="'IV.2.9.Saldos RS mensual'!A1" display="IV.2.9 Aportes y Pagos Mensual del SFS en el RS" xr:uid="{00000000-0004-0000-0400-000042000000}"/>
    <hyperlink ref="A102" location="'IV.2.10 Pagos.SFS Pens.'!A1" display="IV.2.10 Pagos Anuales del SFSP Ley 1896-379" xr:uid="{00000000-0004-0000-0400-000043000000}"/>
    <hyperlink ref="A103" location="'IV.2.11.Pagos.SFS Pens.Mens.'!A1" display="IV.2.11 Pagos Mensuales del SFSP por ARS" xr:uid="{00000000-0004-0000-0400-000044000000}"/>
    <hyperlink ref="A107" location="IV.3.1.AnálisisIng.Eg.SVDS!A1" display="IV.3.1  Análisis de Ingresos y Egresos del SVDS" xr:uid="{00000000-0004-0000-0400-000045000000}"/>
    <hyperlink ref="A108" location="'IV.3.2.Pagos_ SVDS'!A1" display="IV.3.2 Dispersión Histórica del SVDS" xr:uid="{00000000-0004-0000-0400-000046000000}"/>
    <hyperlink ref="A109" location="'IV.3.3.Pagos anuales x cuentas'!A1" display="IV.3.3  Pago Anual al SVDS por Cuentas del SVDS" xr:uid="{00000000-0004-0000-0400-000047000000}"/>
    <hyperlink ref="A110" location="'IV.3.4.Pago Entidades'!A1" display="IV.3.4  Pagos a Entidades del Seguro de Vejez, Discapacidad y Sobrevivencia" xr:uid="{00000000-0004-0000-0400-000048000000}"/>
    <hyperlink ref="A111" location="'IV.3.5.Patrim. fp anual'!A1" display="IV.3.5  Patrimonio de los Fondos de Pensiones por Año" xr:uid="{00000000-0004-0000-0400-000049000000}"/>
    <hyperlink ref="A112" location="'IV.3.6.Cartera de inv fp'!A1" display="IV.3.6 Composición de la Cartera Total de Inversión de los Fondos de Pensiones por Tipo de Emisor" xr:uid="{00000000-0004-0000-0400-00004A000000}"/>
    <hyperlink ref="A113" location="'IV.3.7. Comp. Cartera'!A1" display="IV.3.7 Composición de la Cartera Total de Inversión de los Fondos de Pensiones por Instrumento" xr:uid="{00000000-0004-0000-0400-00004B000000}"/>
    <hyperlink ref="A114" location="'IV.3.8. Rent. nom. de los FP'!A1" display="IV.3.8  Rentabilidad Nominal Promedio de los Fondos de Pensiones" xr:uid="{00000000-0004-0000-0400-00004C000000}"/>
    <hyperlink ref="A115" location="IV.3.9.Rentab.Real!A1" display="IV.3.9 Rentabilidad Promedio de los Fondos de Pensiones" xr:uid="{00000000-0004-0000-0400-00004D000000}"/>
    <hyperlink ref="A119" location="'IV.4.1. Analisis '!A1" display="IV.4.1  Análisis del SRL" xr:uid="{00000000-0004-0000-0400-00004E000000}"/>
    <hyperlink ref="A120" location="'IV.4.2.Pagos ARL A'!A1" display="IV.4.2 Pagos Anuales al ARL por Cuentas" xr:uid="{00000000-0004-0000-0400-00004F000000}"/>
    <hyperlink ref="A121" location="'IV.4.3.Pagos_ARL M'!A1" display="IV.4.3 Pagos Mensuales por Cuentas al Seguro de Riesgo Laborales" xr:uid="{00000000-0004-0000-0400-000050000000}"/>
    <hyperlink ref="A127" location="'V.2.1.SUBSIDIO_SFS Def.'!A1" display="V.2.1  Definiciones Subsidios" xr:uid="{00000000-0004-0000-0400-000051000000}"/>
    <hyperlink ref="A128" location="V.2.2.Análisis!A1" display="V.2.2 Análisis de Subsidio de Matenidad, Lactancia y Enfermedad Común" xr:uid="{00000000-0004-0000-0400-000052000000}"/>
    <hyperlink ref="A129" location="' V.2.3.Benef. subsid '!A1" display="V.2.3 Afiliados Beneficiarios por Subsidios de Maternidad, Lactancia y Enfermedad Común" xr:uid="{00000000-0004-0000-0400-000053000000}"/>
    <hyperlink ref="A130" location="'V.2.4. Monto subsid (2)'!A1" display="V.2.4 Montos Aprobados en Millones de RD$ por Concepto de Subsidios por Maternidad, Lactancia y Enfermedad Común" xr:uid="{00000000-0004-0000-0400-000054000000}"/>
    <hyperlink ref="A134" location="'V.3.1. Def-Análisis pens.'!A1" display="V.3.1  Definiciones Subsidios SVDS" xr:uid="{00000000-0004-0000-0400-000055000000}"/>
    <hyperlink ref="A135" location="'V.3.1. Def-Análisis pens.'!A1" display="V.3.2 Análisis de Subsidio de SVDS" xr:uid="{00000000-0004-0000-0400-000056000000}"/>
    <hyperlink ref="A136" location="'V.3.2 Pensiones por año'!A1" display="V.3.3 Pensiones Otorgadas por Año del SVDS" xr:uid="{00000000-0004-0000-0400-000057000000}"/>
    <hyperlink ref="A137" location="'V.3.3.Pens.Disc. AFP'!A1" display="V.3.4 Monto de Pensión Promedio por Tipo de Discapacidad Según AFP" xr:uid="{00000000-0004-0000-0400-000058000000}"/>
    <hyperlink ref="A138" location="'V.3.4.Pensiones Sob.Disc'!A1" display="V.3.5 Pensión Promedio de Sobrevivencia y Discapacidad (RD$) del SVDS" xr:uid="{00000000-0004-0000-0400-000059000000}"/>
    <hyperlink ref="A141" location="'V.4.1.Def-Analisis   '!A1" display="V.4.1 Análisis de Beneficios de la Administradora de Riesgos Laborales" xr:uid="{00000000-0004-0000-0400-00005A000000}"/>
    <hyperlink ref="A142" location="'V.4.2.NA. Reportes ARL'!A1" display="V.4.2 Reporte de Accidente Laborales y Enfermedades Profesionales" xr:uid="{00000000-0004-0000-0400-00005B000000}"/>
    <hyperlink ref="A143" location="'V.4.3. NA.Cant. accid x región'!A1" display="V.4.3  Reporte de Accidente Laborales y Enfermedades Profesionales por Región" xr:uid="{00000000-0004-0000-0400-00005C000000}"/>
    <hyperlink ref="A144" location="'V.4.4.NA.Cant. accid x Prov.)'!A1" display="V.4.4 Reporte de Accidentes Laborales y Enfermedades Profesionales por Provincia" xr:uid="{00000000-0004-0000-0400-00005D000000}"/>
    <hyperlink ref="A145" location="'V.4.5.NA.Cant. accid x Proced.'!A1" display="V.4.5 Reporte de Accidentes Laborales y Enfermedades Profesionales por Zona de Procedencia" xr:uid="{00000000-0004-0000-0400-00005E000000}"/>
    <hyperlink ref="A146" location="'V.4.6. NA.Cant. accid x sector'!A1" display="V.4.6 Reporte de Accidente Laborales y Enfermedades Profesionales por Tipo Sector" xr:uid="{00000000-0004-0000-0400-00005F000000}"/>
    <hyperlink ref="A147" location="'V.4.7. Accid x sexo'!A1" display="V.4.7 Reporte de Accidentes Laborales y Enfermedades Profesionales por Sexo" xr:uid="{00000000-0004-0000-0400-000060000000}"/>
    <hyperlink ref="A148" location="'V.4.8. Accid x rango de edad'!A1" display="V.4.8 Reporte de Accidentes Laborales y Enfermedades Profesionales por Rango de Edad" xr:uid="{00000000-0004-0000-0400-000061000000}"/>
    <hyperlink ref="A149" location="'V.4.9.Accid x Escolaridad'!A1" display="V.4.9 Reporte de Accidentes Laborales y Enfermedades Profesionales por Nivel de Escolaridad" xr:uid="{00000000-0004-0000-0400-000062000000}"/>
    <hyperlink ref="A153" location="'VII.1. Analisis CBSS'!Área_de_impresión" display="VII.1 Analisis del Convenio Bilateral" xr:uid="{00000000-0004-0000-0400-000063000000}"/>
    <hyperlink ref="A154" location="'VII.2.CBSS Tram.'!Área_de_impresión" display="VII.2 Cantidad de Solicitudes por año y tipo de trámite" xr:uid="{00000000-0004-0000-0400-000064000000}"/>
    <hyperlink ref="A155" location="'VII.3.CBSS-Benef'!Área_de_impresión" display="VII.3 Cantidad de Solicitantes por Año y Tipo de Beneficio" xr:uid="{00000000-0004-0000-0400-000065000000}"/>
    <hyperlink ref="A156" location="'VII.4.CBSS-Tramit.'!Área_de_impresión" display="VII.4  Cantidad de Solicitudes y Tramitaciones Concluidas " xr:uid="{00000000-0004-0000-0400-000066000000}"/>
    <hyperlink ref="A151" location="VII.CBSS!Área_de_impresión" display="VII. Estadísticas del Convenio Bilateral de Seguridad Social entre España y la República Dominicana" xr:uid="{00000000-0004-0000-0400-000067000000}"/>
    <hyperlink ref="A1" location="'VIII.1 Ocup. formal'!Área_de_impresión" display="'VIII.1 Ocup. formal'!Área_de_impresión" xr:uid="{00000000-0004-0000-0400-000068000000}"/>
  </hyperlinks>
  <pageMargins left="0.70866141732283472" right="0.70866141732283472" top="0.74803149606299213" bottom="0.74803149606299213" header="0.31496062992125984" footer="0.31496062992125984"/>
  <pageSetup paperSize="119" scale="63" fitToHeight="0" orientation="portrait" r:id="rId1"/>
  <rowBreaks count="2" manualBreakCount="2">
    <brk id="54" man="1"/>
    <brk id="10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theme="6" tint="-0.249977111117893"/>
    <pageSetUpPr fitToPage="1"/>
  </sheetPr>
  <dimension ref="A5:T54"/>
  <sheetViews>
    <sheetView showGridLines="0" view="pageBreakPreview" zoomScale="85" zoomScaleNormal="100" zoomScaleSheetLayoutView="85" workbookViewId="0">
      <selection activeCell="P22" sqref="P22"/>
    </sheetView>
  </sheetViews>
  <sheetFormatPr defaultColWidth="11.42578125" defaultRowHeight="15"/>
  <cols>
    <col min="7" max="8" width="15" customWidth="1"/>
    <col min="9" max="9" width="16.28515625" customWidth="1"/>
    <col min="11" max="11" width="17.7109375" customWidth="1"/>
    <col min="14" max="14" width="22.42578125" customWidth="1"/>
    <col min="15" max="15" width="22.42578125" style="40" customWidth="1"/>
    <col min="16" max="19" width="22.42578125" customWidth="1"/>
    <col min="20" max="20" width="17.5703125" customWidth="1"/>
  </cols>
  <sheetData>
    <row r="5" spans="1:19" ht="15.75" customHeight="1"/>
    <row r="6" spans="1:19">
      <c r="A6" s="2142" t="s">
        <v>581</v>
      </c>
      <c r="B6" s="2143"/>
      <c r="C6" s="2143"/>
      <c r="D6" s="2143"/>
      <c r="E6" s="2143"/>
      <c r="F6" s="2143"/>
      <c r="G6" s="2143"/>
      <c r="H6" s="2143"/>
      <c r="I6" s="2143"/>
      <c r="J6" s="2143"/>
      <c r="K6" s="2143"/>
      <c r="L6" s="2143"/>
    </row>
    <row r="7" spans="1:19">
      <c r="A7" s="2143"/>
      <c r="B7" s="2143"/>
      <c r="C7" s="2143"/>
      <c r="D7" s="2143"/>
      <c r="E7" s="2143"/>
      <c r="F7" s="2143"/>
      <c r="G7" s="2143"/>
      <c r="H7" s="2143"/>
      <c r="I7" s="2143"/>
      <c r="J7" s="2143"/>
      <c r="K7" s="2143"/>
      <c r="L7" s="2143"/>
    </row>
    <row r="8" spans="1:19">
      <c r="A8" s="2143"/>
      <c r="B8" s="2143"/>
      <c r="C8" s="2143"/>
      <c r="D8" s="2143"/>
      <c r="E8" s="2143"/>
      <c r="F8" s="2143"/>
      <c r="G8" s="2143"/>
      <c r="H8" s="2143"/>
      <c r="I8" s="2143"/>
      <c r="J8" s="2143"/>
      <c r="K8" s="2143"/>
      <c r="L8" s="2143"/>
    </row>
    <row r="9" spans="1:19">
      <c r="A9" s="2143"/>
      <c r="B9" s="2143"/>
      <c r="C9" s="2143"/>
      <c r="D9" s="2143"/>
      <c r="E9" s="2143"/>
      <c r="F9" s="2143"/>
      <c r="G9" s="2143"/>
      <c r="H9" s="2143"/>
      <c r="I9" s="2143"/>
      <c r="J9" s="2143"/>
      <c r="K9" s="2143"/>
      <c r="L9" s="2143"/>
    </row>
    <row r="10" spans="1:19">
      <c r="A10" s="2143"/>
      <c r="B10" s="2143"/>
      <c r="C10" s="2143"/>
      <c r="D10" s="2143"/>
      <c r="E10" s="2143"/>
      <c r="F10" s="2143"/>
      <c r="G10" s="2143"/>
      <c r="H10" s="2143"/>
      <c r="I10" s="2143"/>
      <c r="J10" s="2143"/>
      <c r="K10" s="2143"/>
      <c r="L10" s="2143"/>
      <c r="Q10" s="1096"/>
      <c r="S10" s="1097"/>
    </row>
    <row r="11" spans="1:19">
      <c r="A11" s="2143"/>
      <c r="B11" s="2143"/>
      <c r="C11" s="2143"/>
      <c r="D11" s="2143"/>
      <c r="E11" s="2143"/>
      <c r="F11" s="2143"/>
      <c r="G11" s="2143"/>
      <c r="H11" s="2143"/>
      <c r="I11" s="2143"/>
      <c r="J11" s="2143"/>
      <c r="K11" s="2143"/>
      <c r="L11" s="2143"/>
      <c r="Q11" s="1096"/>
      <c r="S11" s="1097"/>
    </row>
    <row r="12" spans="1:19">
      <c r="A12" s="2143"/>
      <c r="B12" s="2143"/>
      <c r="C12" s="2143"/>
      <c r="D12" s="2143"/>
      <c r="E12" s="2143"/>
      <c r="F12" s="2143"/>
      <c r="G12" s="2143"/>
      <c r="H12" s="2143"/>
      <c r="I12" s="2143"/>
      <c r="J12" s="2143"/>
      <c r="K12" s="2143"/>
      <c r="L12" s="2143"/>
      <c r="Q12" s="1096"/>
      <c r="S12" s="1097"/>
    </row>
    <row r="13" spans="1:19">
      <c r="A13" s="2143"/>
      <c r="B13" s="2143"/>
      <c r="C13" s="2143"/>
      <c r="D13" s="2143"/>
      <c r="E13" s="2143"/>
      <c r="F13" s="2143"/>
      <c r="G13" s="2143"/>
      <c r="H13" s="2143"/>
      <c r="I13" s="2143"/>
      <c r="J13" s="2143"/>
      <c r="K13" s="2143"/>
      <c r="L13" s="2143"/>
    </row>
    <row r="14" spans="1:19">
      <c r="A14" s="2143"/>
      <c r="B14" s="2143"/>
      <c r="C14" s="2143"/>
      <c r="D14" s="2143"/>
      <c r="E14" s="2143"/>
      <c r="F14" s="2143"/>
      <c r="G14" s="2143"/>
      <c r="H14" s="2143"/>
      <c r="I14" s="2143"/>
      <c r="J14" s="2143"/>
      <c r="K14" s="2143"/>
      <c r="L14" s="2143"/>
    </row>
    <row r="15" spans="1:19">
      <c r="A15" s="2143"/>
      <c r="B15" s="2143"/>
      <c r="C15" s="2143"/>
      <c r="D15" s="2143"/>
      <c r="E15" s="2143"/>
      <c r="F15" s="2143"/>
      <c r="G15" s="2143"/>
      <c r="H15" s="2143"/>
      <c r="I15" s="2143"/>
      <c r="J15" s="2143"/>
      <c r="K15" s="2143"/>
      <c r="L15" s="2143"/>
    </row>
    <row r="16" spans="1:19">
      <c r="A16" s="2143"/>
      <c r="B16" s="2143"/>
      <c r="C16" s="2143"/>
      <c r="D16" s="2143"/>
      <c r="E16" s="2143"/>
      <c r="F16" s="2143"/>
      <c r="G16" s="2143"/>
      <c r="H16" s="2143"/>
      <c r="I16" s="2143"/>
      <c r="J16" s="2143"/>
      <c r="K16" s="2143"/>
      <c r="L16" s="2143"/>
      <c r="R16" s="45"/>
    </row>
    <row r="17" spans="1:20">
      <c r="A17" s="2143"/>
      <c r="B17" s="2143"/>
      <c r="C17" s="2143"/>
      <c r="D17" s="2143"/>
      <c r="E17" s="2143"/>
      <c r="F17" s="2143"/>
      <c r="G17" s="2143"/>
      <c r="H17" s="2143"/>
      <c r="I17" s="2143"/>
      <c r="J17" s="2143"/>
      <c r="K17" s="2143"/>
      <c r="L17" s="2143"/>
    </row>
    <row r="18" spans="1:20">
      <c r="A18" s="2143"/>
      <c r="B18" s="2143"/>
      <c r="C18" s="2143"/>
      <c r="D18" s="2143"/>
      <c r="E18" s="2143"/>
      <c r="F18" s="2143"/>
      <c r="G18" s="2143"/>
      <c r="H18" s="2143"/>
      <c r="I18" s="2143"/>
      <c r="J18" s="2143"/>
      <c r="K18" s="2143"/>
      <c r="L18" s="2143"/>
    </row>
    <row r="19" spans="1:20">
      <c r="A19" s="2143"/>
      <c r="B19" s="2143"/>
      <c r="C19" s="2143"/>
      <c r="D19" s="2143"/>
      <c r="E19" s="2143"/>
      <c r="F19" s="2143"/>
      <c r="G19" s="2143"/>
      <c r="H19" s="2143"/>
      <c r="I19" s="2143"/>
      <c r="J19" s="2143"/>
      <c r="K19" s="2143"/>
      <c r="L19" s="2143"/>
    </row>
    <row r="20" spans="1:20">
      <c r="A20" s="2143"/>
      <c r="B20" s="2143"/>
      <c r="C20" s="2143"/>
      <c r="D20" s="2143"/>
      <c r="E20" s="2143"/>
      <c r="F20" s="2143"/>
      <c r="G20" s="2143"/>
      <c r="H20" s="2143"/>
      <c r="I20" s="2143"/>
      <c r="J20" s="2143"/>
      <c r="K20" s="2143"/>
      <c r="L20" s="2143"/>
    </row>
    <row r="21" spans="1:20">
      <c r="A21" s="2143"/>
      <c r="B21" s="2143"/>
      <c r="C21" s="2143"/>
      <c r="D21" s="2143"/>
      <c r="E21" s="2143"/>
      <c r="F21" s="2143"/>
      <c r="G21" s="2143"/>
      <c r="H21" s="2143"/>
      <c r="I21" s="2143"/>
      <c r="J21" s="2143"/>
      <c r="K21" s="2143"/>
      <c r="L21" s="2143"/>
      <c r="O21"/>
    </row>
    <row r="22" spans="1:20">
      <c r="A22" s="2143"/>
      <c r="B22" s="2143"/>
      <c r="C22" s="2143"/>
      <c r="D22" s="2143"/>
      <c r="E22" s="2143"/>
      <c r="F22" s="2143"/>
      <c r="G22" s="2143"/>
      <c r="H22" s="2143"/>
      <c r="I22" s="2143"/>
      <c r="J22" s="2143"/>
      <c r="K22" s="2143"/>
      <c r="L22" s="2143"/>
      <c r="O22"/>
    </row>
    <row r="23" spans="1:20">
      <c r="A23" s="2143"/>
      <c r="B23" s="2143"/>
      <c r="C23" s="2143"/>
      <c r="D23" s="2143"/>
      <c r="E23" s="2143"/>
      <c r="F23" s="2143"/>
      <c r="G23" s="2143"/>
      <c r="H23" s="2143"/>
      <c r="I23" s="2143"/>
      <c r="J23" s="2143"/>
      <c r="K23" s="2143"/>
      <c r="L23" s="2143"/>
      <c r="O23" s="2141"/>
      <c r="P23" s="2140"/>
    </row>
    <row r="24" spans="1:20">
      <c r="A24" s="2143"/>
      <c r="B24" s="2143"/>
      <c r="C24" s="2143"/>
      <c r="D24" s="2143"/>
      <c r="E24" s="2143"/>
      <c r="F24" s="2143"/>
      <c r="G24" s="2143"/>
      <c r="H24" s="2143"/>
      <c r="I24" s="2143"/>
      <c r="J24" s="2143"/>
      <c r="K24" s="2143"/>
      <c r="L24" s="2143"/>
      <c r="O24" s="2141"/>
      <c r="P24" s="2140"/>
    </row>
    <row r="25" spans="1:20">
      <c r="A25" s="2143"/>
      <c r="B25" s="2143"/>
      <c r="C25" s="2143"/>
      <c r="D25" s="2143"/>
      <c r="E25" s="2143"/>
      <c r="F25" s="2143"/>
      <c r="G25" s="2143"/>
      <c r="H25" s="2143"/>
      <c r="I25" s="2143"/>
      <c r="J25" s="2143"/>
      <c r="K25" s="2143"/>
      <c r="L25" s="2143"/>
      <c r="O25" s="2141"/>
      <c r="P25" s="2140"/>
    </row>
    <row r="26" spans="1:20">
      <c r="A26" s="2143"/>
      <c r="B26" s="2143"/>
      <c r="C26" s="2143"/>
      <c r="D26" s="2143"/>
      <c r="E26" s="2143"/>
      <c r="F26" s="2143"/>
      <c r="G26" s="2143"/>
      <c r="H26" s="2143"/>
      <c r="I26" s="2143"/>
      <c r="J26" s="2143"/>
      <c r="K26" s="2143"/>
      <c r="L26" s="2143"/>
      <c r="O26" s="2141"/>
      <c r="P26" s="2140"/>
    </row>
    <row r="27" spans="1:20">
      <c r="A27" s="2143"/>
      <c r="B27" s="2143"/>
      <c r="C27" s="2143"/>
      <c r="D27" s="2143"/>
      <c r="E27" s="2143"/>
      <c r="F27" s="2143"/>
      <c r="G27" s="2143"/>
      <c r="H27" s="2143"/>
      <c r="I27" s="2143"/>
      <c r="J27" s="2143"/>
      <c r="K27" s="2143"/>
      <c r="L27" s="2143"/>
      <c r="N27" s="149"/>
      <c r="O27"/>
      <c r="P27" s="2140"/>
    </row>
    <row r="28" spans="1:20" ht="58.5" customHeight="1">
      <c r="A28" s="2143"/>
      <c r="B28" s="2143"/>
      <c r="C28" s="2143"/>
      <c r="D28" s="2143"/>
      <c r="E28" s="2143"/>
      <c r="F28" s="2143"/>
      <c r="G28" s="2143"/>
      <c r="H28" s="2143"/>
      <c r="I28" s="2143"/>
      <c r="J28" s="2143"/>
      <c r="K28" s="2143"/>
      <c r="L28" s="2143"/>
      <c r="N28" s="149"/>
    </row>
    <row r="29" spans="1:20" ht="46.5" customHeight="1">
      <c r="A29" s="2143"/>
      <c r="B29" s="2143"/>
      <c r="C29" s="2143"/>
      <c r="D29" s="2143"/>
      <c r="E29" s="2143"/>
      <c r="F29" s="2143"/>
      <c r="G29" s="2143"/>
      <c r="H29" s="2143"/>
      <c r="I29" s="2143"/>
      <c r="J29" s="2143"/>
      <c r="K29" s="2143"/>
      <c r="L29" s="2143"/>
      <c r="N29" s="1657"/>
      <c r="O29" s="1658"/>
      <c r="P29" s="79"/>
      <c r="Q29" s="79"/>
      <c r="R29" s="79"/>
      <c r="S29" s="79"/>
      <c r="T29" s="79"/>
    </row>
    <row r="30" spans="1:20" ht="37.5">
      <c r="A30" s="2143"/>
      <c r="B30" s="2143"/>
      <c r="C30" s="2143"/>
      <c r="D30" s="2143"/>
      <c r="E30" s="2143"/>
      <c r="F30" s="2143"/>
      <c r="G30" s="2143"/>
      <c r="H30" s="2143"/>
      <c r="I30" s="2143"/>
      <c r="J30" s="2143"/>
      <c r="K30" s="2143"/>
      <c r="L30" s="2143"/>
      <c r="N30" s="1418" t="s">
        <v>235</v>
      </c>
      <c r="O30" s="1418" t="str">
        <f>+' III.4.2.Afil. SFSP Anual.'!C5</f>
        <v>Decreto No. 342-09</v>
      </c>
      <c r="P30" s="1418" t="str">
        <f>+' III.4.2.Afil. SFSP Anual.'!D5</f>
        <v>Decreto No.18-19</v>
      </c>
      <c r="Q30" s="1418" t="str">
        <f>+' III.4.2.Afil. SFSP Anual.'!E5</f>
        <v>Decreto No. 371-16</v>
      </c>
      <c r="R30" s="1418" t="str">
        <f>+' III.4.2.Afil. SFSP Anual.'!F5</f>
        <v>Decreto 
No. 159-17</v>
      </c>
      <c r="S30" s="1418" t="str">
        <f>+' III.4.2.Afil. SFSP Anual.'!G5</f>
        <v>Res. SISALRIL 
No. 207-2016</v>
      </c>
      <c r="T30" s="79"/>
    </row>
    <row r="31" spans="1:20" ht="23.25" customHeight="1">
      <c r="A31" s="2143"/>
      <c r="B31" s="2143"/>
      <c r="C31" s="2143"/>
      <c r="D31" s="2143"/>
      <c r="E31" s="2143"/>
      <c r="F31" s="2143"/>
      <c r="G31" s="2143"/>
      <c r="H31" s="2143"/>
      <c r="I31" s="2143"/>
      <c r="J31" s="2143"/>
      <c r="K31" s="2143"/>
      <c r="L31" s="2143"/>
      <c r="N31" s="1659">
        <f>+O31+P31+Q31+R31+S31</f>
        <v>116976</v>
      </c>
      <c r="O31" s="1660">
        <f>+' III.4.2.Afil. SFSP Anual.'!C22</f>
        <v>16243</v>
      </c>
      <c r="P31" s="1660">
        <f>+' III.4.2.Afil. SFSP Anual.'!D22</f>
        <v>31009</v>
      </c>
      <c r="Q31" s="1660">
        <f>+' III.4.2.Afil. SFSP Anual.'!E22</f>
        <v>5751</v>
      </c>
      <c r="R31" s="1660">
        <f>+' III.4.2.Afil. SFSP Anual.'!F22</f>
        <v>31175</v>
      </c>
      <c r="S31" s="1660">
        <f>+' III.4.2.Afil. SFSP Anual.'!G22</f>
        <v>32798</v>
      </c>
      <c r="T31" s="79"/>
    </row>
    <row r="32" spans="1:20" ht="18.75">
      <c r="A32" s="2143"/>
      <c r="B32" s="2143"/>
      <c r="C32" s="2143"/>
      <c r="D32" s="2143"/>
      <c r="E32" s="2143"/>
      <c r="F32" s="2143"/>
      <c r="G32" s="2143"/>
      <c r="H32" s="2143"/>
      <c r="I32" s="2143"/>
      <c r="J32" s="2143"/>
      <c r="K32" s="2143"/>
      <c r="L32" s="2143"/>
      <c r="N32" s="1661">
        <f t="shared" ref="N32:S32" si="0">+N31/$N$31</f>
        <v>1</v>
      </c>
      <c r="O32" s="1661">
        <f t="shared" si="0"/>
        <v>0.13885754342771167</v>
      </c>
      <c r="P32" s="1661">
        <f t="shared" si="0"/>
        <v>0.26508856517576257</v>
      </c>
      <c r="Q32" s="1661">
        <f t="shared" si="0"/>
        <v>4.9163931062782107E-2</v>
      </c>
      <c r="R32" s="1661">
        <f t="shared" si="0"/>
        <v>0.26650765969087675</v>
      </c>
      <c r="S32" s="1661">
        <f t="shared" si="0"/>
        <v>0.2803823006428669</v>
      </c>
      <c r="T32" s="79"/>
    </row>
    <row r="33" spans="1:14" ht="29.25" customHeight="1">
      <c r="A33" s="2143"/>
      <c r="B33" s="2143"/>
      <c r="C33" s="2143"/>
      <c r="D33" s="2143"/>
      <c r="E33" s="2143"/>
      <c r="F33" s="2143"/>
      <c r="G33" s="2143"/>
      <c r="H33" s="2143"/>
      <c r="I33" s="2143"/>
      <c r="J33" s="2143"/>
      <c r="K33" s="2143"/>
      <c r="L33" s="2143"/>
      <c r="N33" s="149"/>
    </row>
    <row r="34" spans="1:14">
      <c r="A34" s="149"/>
      <c r="B34" s="149"/>
      <c r="C34" s="149"/>
      <c r="D34" s="149"/>
      <c r="E34" s="149"/>
      <c r="F34" s="149"/>
      <c r="G34" s="149"/>
      <c r="H34" s="149"/>
      <c r="I34" s="149"/>
      <c r="J34" s="149"/>
      <c r="K34" s="149"/>
      <c r="L34" s="149"/>
    </row>
    <row r="35" spans="1:14">
      <c r="A35" s="149"/>
      <c r="B35" s="149"/>
      <c r="C35" s="149"/>
      <c r="D35" s="149"/>
      <c r="E35" s="149"/>
      <c r="F35" s="149"/>
      <c r="G35" s="149"/>
      <c r="H35" s="149"/>
      <c r="I35" s="149"/>
      <c r="J35" s="149"/>
      <c r="K35" s="149"/>
      <c r="L35" s="149"/>
    </row>
    <row r="36" spans="1:14">
      <c r="A36" s="149"/>
      <c r="B36" s="149"/>
      <c r="C36" s="149"/>
      <c r="D36" s="149"/>
      <c r="E36" s="149"/>
      <c r="F36" s="149"/>
      <c r="G36" s="149"/>
      <c r="H36" s="149"/>
      <c r="I36" s="149"/>
      <c r="J36" s="149"/>
      <c r="K36" s="149"/>
      <c r="L36" s="149"/>
    </row>
    <row r="37" spans="1:14">
      <c r="A37" s="149"/>
      <c r="B37" s="149"/>
      <c r="C37" s="149"/>
      <c r="D37" s="149"/>
      <c r="E37" s="149"/>
      <c r="F37" s="149"/>
      <c r="G37" s="149"/>
      <c r="H37" s="149"/>
      <c r="I37" s="149"/>
      <c r="J37" s="149"/>
      <c r="K37" s="149"/>
      <c r="L37" s="149"/>
    </row>
    <row r="38" spans="1:14">
      <c r="A38" s="149"/>
      <c r="B38" s="149"/>
      <c r="C38" s="149"/>
      <c r="D38" s="149"/>
      <c r="E38" s="149"/>
      <c r="F38" s="149"/>
      <c r="G38" s="149"/>
      <c r="H38" s="149"/>
      <c r="I38" s="149"/>
      <c r="J38" s="149"/>
      <c r="K38" s="149"/>
      <c r="L38" s="149"/>
    </row>
    <row r="48" spans="1:14">
      <c r="M48" s="149"/>
    </row>
    <row r="49" spans="13:13">
      <c r="M49" s="149"/>
    </row>
    <row r="50" spans="13:13">
      <c r="M50" s="149"/>
    </row>
    <row r="51" spans="13:13">
      <c r="M51" s="149"/>
    </row>
    <row r="52" spans="13:13">
      <c r="M52" s="149"/>
    </row>
    <row r="53" spans="13:13">
      <c r="M53" s="149"/>
    </row>
    <row r="54" spans="13:13">
      <c r="M54" s="149"/>
    </row>
  </sheetData>
  <mergeCells count="3">
    <mergeCell ref="P23:P27"/>
    <mergeCell ref="O23:O26"/>
    <mergeCell ref="A6:L33"/>
  </mergeCells>
  <pageMargins left="0.70866141732283472" right="0.70866141732283472" top="0.74803149606299213" bottom="0.74803149606299213" header="0.31496062992125984" footer="0.31496062992125984"/>
  <pageSetup scale="7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theme="6" tint="-0.249977111117893"/>
    <pageSetUpPr fitToPage="1"/>
  </sheetPr>
  <dimension ref="A1:I50"/>
  <sheetViews>
    <sheetView showGridLines="0" view="pageBreakPreview" topLeftCell="A8" zoomScale="85" zoomScaleNormal="100" zoomScaleSheetLayoutView="85" workbookViewId="0">
      <selection activeCell="K15" sqref="K15"/>
    </sheetView>
  </sheetViews>
  <sheetFormatPr defaultColWidth="11.42578125" defaultRowHeight="15"/>
  <cols>
    <col min="1" max="1" width="16" customWidth="1"/>
    <col min="2" max="2" width="18.28515625" customWidth="1"/>
    <col min="3" max="4" width="16.42578125" customWidth="1"/>
    <col min="5" max="5" width="18.42578125" customWidth="1"/>
    <col min="6" max="6" width="24.8554687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2146" t="s">
        <v>582</v>
      </c>
      <c r="B1" s="2147"/>
      <c r="C1" s="2147"/>
      <c r="D1" s="2147"/>
      <c r="E1" s="2147"/>
      <c r="F1" s="2147"/>
      <c r="G1" s="2147"/>
      <c r="H1" s="87"/>
    </row>
    <row r="2" spans="1:8" ht="24" customHeight="1" thickBot="1">
      <c r="A2" s="2144" t="str">
        <f>+'Resumen '!O1</f>
        <v>Período:  Diciembre 2009 - Abril 2025</v>
      </c>
      <c r="B2" s="2145"/>
      <c r="C2" s="2145"/>
      <c r="D2" s="2145"/>
      <c r="E2" s="2145"/>
      <c r="F2" s="2145"/>
      <c r="G2" s="2145"/>
    </row>
    <row r="3" spans="1:8" ht="13.5" customHeight="1">
      <c r="B3" s="70"/>
      <c r="C3" s="70"/>
      <c r="D3" s="70"/>
      <c r="E3" s="70"/>
      <c r="F3" s="70"/>
      <c r="G3" s="70"/>
    </row>
    <row r="4" spans="1:8" s="79" customFormat="1" ht="39" customHeight="1">
      <c r="A4" s="906"/>
      <c r="B4" s="907"/>
      <c r="C4" s="2150" t="s">
        <v>583</v>
      </c>
      <c r="D4" s="2150"/>
      <c r="E4" s="911" t="s">
        <v>584</v>
      </c>
      <c r="F4" s="911" t="s">
        <v>585</v>
      </c>
      <c r="G4" s="911" t="s">
        <v>586</v>
      </c>
    </row>
    <row r="5" spans="1:8" s="80" customFormat="1" ht="39.75" customHeight="1">
      <c r="A5" s="911" t="s">
        <v>262</v>
      </c>
      <c r="B5" s="911" t="s">
        <v>587</v>
      </c>
      <c r="C5" s="911" t="s">
        <v>588</v>
      </c>
      <c r="D5" s="911" t="s">
        <v>589</v>
      </c>
      <c r="E5" s="911" t="s">
        <v>590</v>
      </c>
      <c r="F5" s="911" t="s">
        <v>591</v>
      </c>
      <c r="G5" s="911" t="s">
        <v>592</v>
      </c>
    </row>
    <row r="6" spans="1:8" s="79" customFormat="1" ht="18.75">
      <c r="A6" s="908">
        <v>2009</v>
      </c>
      <c r="B6" s="909">
        <f t="shared" ref="B6:B16" si="0">+C6+D6+E6+F6+G6</f>
        <v>18748</v>
      </c>
      <c r="C6" s="910">
        <v>18748</v>
      </c>
      <c r="D6" s="910">
        <v>0</v>
      </c>
      <c r="E6" s="910">
        <v>0</v>
      </c>
      <c r="F6" s="910">
        <v>0</v>
      </c>
      <c r="G6" s="910">
        <v>0</v>
      </c>
    </row>
    <row r="7" spans="1:8" s="79" customFormat="1" ht="18.75">
      <c r="A7" s="908">
        <v>2010</v>
      </c>
      <c r="B7" s="909">
        <f t="shared" si="0"/>
        <v>27105</v>
      </c>
      <c r="C7" s="910">
        <v>27105</v>
      </c>
      <c r="D7" s="910">
        <v>0</v>
      </c>
      <c r="E7" s="910">
        <v>0</v>
      </c>
      <c r="F7" s="910">
        <v>0</v>
      </c>
      <c r="G7" s="910">
        <v>0</v>
      </c>
    </row>
    <row r="8" spans="1:8" s="79" customFormat="1" ht="18.75">
      <c r="A8" s="908">
        <v>2011</v>
      </c>
      <c r="B8" s="909">
        <f t="shared" si="0"/>
        <v>29726</v>
      </c>
      <c r="C8" s="910">
        <v>29726</v>
      </c>
      <c r="D8" s="910">
        <v>0</v>
      </c>
      <c r="E8" s="910">
        <v>0</v>
      </c>
      <c r="F8" s="910">
        <v>0</v>
      </c>
      <c r="G8" s="910">
        <v>0</v>
      </c>
    </row>
    <row r="9" spans="1:8" s="79" customFormat="1" ht="18.75">
      <c r="A9" s="908">
        <v>2012</v>
      </c>
      <c r="B9" s="909">
        <f t="shared" si="0"/>
        <v>30703</v>
      </c>
      <c r="C9" s="910">
        <v>30703</v>
      </c>
      <c r="D9" s="910">
        <v>0</v>
      </c>
      <c r="E9" s="910">
        <v>0</v>
      </c>
      <c r="F9" s="910">
        <v>0</v>
      </c>
      <c r="G9" s="910">
        <v>0</v>
      </c>
    </row>
    <row r="10" spans="1:8" ht="15.75">
      <c r="A10" s="908">
        <v>2013</v>
      </c>
      <c r="B10" s="909">
        <f t="shared" si="0"/>
        <v>25205</v>
      </c>
      <c r="C10" s="910">
        <v>25205</v>
      </c>
      <c r="D10" s="910">
        <v>0</v>
      </c>
      <c r="E10" s="910">
        <v>0</v>
      </c>
      <c r="F10" s="910">
        <v>0</v>
      </c>
      <c r="G10" s="910">
        <v>0</v>
      </c>
    </row>
    <row r="11" spans="1:8" ht="15.75">
      <c r="A11" s="908">
        <v>2014</v>
      </c>
      <c r="B11" s="909">
        <f t="shared" si="0"/>
        <v>30370</v>
      </c>
      <c r="C11" s="910">
        <v>30370</v>
      </c>
      <c r="D11" s="910">
        <v>0</v>
      </c>
      <c r="E11" s="910">
        <v>0</v>
      </c>
      <c r="F11" s="910">
        <v>0</v>
      </c>
      <c r="G11" s="910">
        <v>0</v>
      </c>
    </row>
    <row r="12" spans="1:8" ht="15.75">
      <c r="A12" s="908">
        <v>2015</v>
      </c>
      <c r="B12" s="909">
        <f t="shared" si="0"/>
        <v>30529</v>
      </c>
      <c r="C12" s="910">
        <v>30529</v>
      </c>
      <c r="D12" s="910">
        <v>0</v>
      </c>
      <c r="E12" s="910">
        <v>0</v>
      </c>
      <c r="F12" s="910">
        <v>0</v>
      </c>
      <c r="G12" s="910">
        <v>0</v>
      </c>
    </row>
    <row r="13" spans="1:8" s="136" customFormat="1" ht="15.75">
      <c r="A13" s="908">
        <v>2016</v>
      </c>
      <c r="B13" s="909">
        <f t="shared" si="0"/>
        <v>27409</v>
      </c>
      <c r="C13" s="910">
        <v>27409</v>
      </c>
      <c r="D13" s="910">
        <v>0</v>
      </c>
      <c r="E13" s="910">
        <v>0</v>
      </c>
      <c r="F13" s="910">
        <v>0</v>
      </c>
      <c r="G13" s="910">
        <v>0</v>
      </c>
    </row>
    <row r="14" spans="1:8" ht="15.75">
      <c r="A14" s="908">
        <v>2017</v>
      </c>
      <c r="B14" s="909">
        <f t="shared" si="0"/>
        <v>72326</v>
      </c>
      <c r="C14" s="910">
        <v>26338</v>
      </c>
      <c r="D14" s="910">
        <v>0</v>
      </c>
      <c r="E14" s="910">
        <v>4623</v>
      </c>
      <c r="F14" s="910">
        <v>19613</v>
      </c>
      <c r="G14" s="910">
        <v>21752</v>
      </c>
    </row>
    <row r="15" spans="1:8" ht="15.75">
      <c r="A15" s="908">
        <v>2018</v>
      </c>
      <c r="B15" s="909">
        <f t="shared" si="0"/>
        <v>76197</v>
      </c>
      <c r="C15" s="910">
        <v>25266</v>
      </c>
      <c r="D15" s="910">
        <v>0</v>
      </c>
      <c r="E15" s="910">
        <v>5232</v>
      </c>
      <c r="F15" s="910">
        <v>22744</v>
      </c>
      <c r="G15" s="910">
        <v>22955</v>
      </c>
    </row>
    <row r="16" spans="1:8" ht="15.75">
      <c r="A16" s="908">
        <v>2019</v>
      </c>
      <c r="B16" s="909">
        <f t="shared" si="0"/>
        <v>90657</v>
      </c>
      <c r="C16" s="910">
        <v>23781</v>
      </c>
      <c r="D16" s="910">
        <v>11479</v>
      </c>
      <c r="E16" s="910">
        <v>5670</v>
      </c>
      <c r="F16" s="910">
        <v>25426</v>
      </c>
      <c r="G16" s="910">
        <v>24301</v>
      </c>
    </row>
    <row r="17" spans="1:9" ht="15.75">
      <c r="A17" s="908">
        <v>2020</v>
      </c>
      <c r="B17" s="909">
        <v>95925</v>
      </c>
      <c r="C17" s="910">
        <v>22156</v>
      </c>
      <c r="D17" s="910">
        <v>13873</v>
      </c>
      <c r="E17" s="910">
        <v>6078</v>
      </c>
      <c r="F17" s="910">
        <v>25900</v>
      </c>
      <c r="G17" s="910">
        <v>27918</v>
      </c>
    </row>
    <row r="18" spans="1:9" ht="15.75">
      <c r="A18" s="908" t="s">
        <v>453</v>
      </c>
      <c r="B18" s="909">
        <f>+C18+D18+E18+F18+G18</f>
        <v>97916</v>
      </c>
      <c r="C18" s="910">
        <v>20062</v>
      </c>
      <c r="D18" s="910">
        <v>17145</v>
      </c>
      <c r="E18" s="910">
        <v>5922</v>
      </c>
      <c r="F18" s="910">
        <v>26562</v>
      </c>
      <c r="G18" s="910">
        <v>28225</v>
      </c>
    </row>
    <row r="19" spans="1:9" ht="15.75">
      <c r="A19" s="908">
        <v>2022</v>
      </c>
      <c r="B19" s="909">
        <f>+C19+D19+E19+F19+G19</f>
        <v>104426</v>
      </c>
      <c r="C19" s="910">
        <v>18658</v>
      </c>
      <c r="D19" s="910">
        <v>21809</v>
      </c>
      <c r="E19" s="910">
        <v>5781</v>
      </c>
      <c r="F19" s="910">
        <v>27442</v>
      </c>
      <c r="G19" s="910">
        <v>30736</v>
      </c>
    </row>
    <row r="20" spans="1:9" ht="15.75">
      <c r="A20" s="908" t="s">
        <v>593</v>
      </c>
      <c r="B20" s="909">
        <f>+C20+D20+E20+F20+G20</f>
        <v>111952</v>
      </c>
      <c r="C20" s="910">
        <v>17514</v>
      </c>
      <c r="D20" s="910">
        <v>27960</v>
      </c>
      <c r="E20" s="910">
        <v>5602</v>
      </c>
      <c r="F20" s="910">
        <v>28822</v>
      </c>
      <c r="G20" s="910">
        <v>32054</v>
      </c>
    </row>
    <row r="21" spans="1:9" ht="15.75">
      <c r="A21" s="908" t="s">
        <v>594</v>
      </c>
      <c r="B21" s="909">
        <f t="shared" ref="B21:B22" si="1">+C21+D21+E21+F21+G21</f>
        <v>115202</v>
      </c>
      <c r="C21" s="910">
        <v>16476</v>
      </c>
      <c r="D21" s="910">
        <v>30199</v>
      </c>
      <c r="E21" s="910">
        <v>5721</v>
      </c>
      <c r="F21" s="910">
        <v>30324</v>
      </c>
      <c r="G21" s="910">
        <v>32482</v>
      </c>
    </row>
    <row r="22" spans="1:9" ht="15.75">
      <c r="A22" s="908" t="s">
        <v>595</v>
      </c>
      <c r="B22" s="909">
        <f t="shared" si="1"/>
        <v>116976</v>
      </c>
      <c r="C22" s="910">
        <f>+'Resumen '!I13</f>
        <v>16243</v>
      </c>
      <c r="D22" s="910">
        <f>+'Resumen '!J13</f>
        <v>31009</v>
      </c>
      <c r="E22" s="910">
        <f>+'Resumen '!K13</f>
        <v>5751</v>
      </c>
      <c r="F22" s="910">
        <f>+'Resumen '!L13</f>
        <v>31175</v>
      </c>
      <c r="G22" s="910">
        <f>+'Resumen '!M13</f>
        <v>32798</v>
      </c>
      <c r="I22">
        <f>+B22-'Resumen '!B33</f>
        <v>0</v>
      </c>
    </row>
    <row r="23" spans="1:9" ht="29.25" customHeight="1">
      <c r="A23" s="2148" t="s">
        <v>596</v>
      </c>
      <c r="B23" s="2148"/>
      <c r="C23" s="2148"/>
      <c r="D23" s="2148"/>
      <c r="E23" s="2148"/>
      <c r="F23" s="2148"/>
      <c r="G23" s="2148"/>
    </row>
    <row r="24" spans="1:9" ht="27" customHeight="1">
      <c r="A24" s="2149" t="s">
        <v>597</v>
      </c>
      <c r="B24" s="2149"/>
      <c r="C24" s="2149"/>
      <c r="D24" s="2149"/>
      <c r="E24" s="2149"/>
      <c r="F24" s="2149"/>
      <c r="G24" s="2149"/>
    </row>
    <row r="25" spans="1:9" ht="15.75">
      <c r="C25" s="3"/>
      <c r="D25" s="3"/>
      <c r="E25" s="3"/>
      <c r="F25" s="3"/>
      <c r="G25" s="3"/>
      <c r="H25" s="3"/>
    </row>
    <row r="26" spans="1:9" ht="15.75">
      <c r="C26" s="3"/>
      <c r="D26" s="3"/>
      <c r="E26" s="3"/>
      <c r="F26" s="3"/>
      <c r="G26" s="3"/>
    </row>
    <row r="27" spans="1:9" ht="15.75">
      <c r="C27" s="3"/>
      <c r="D27" s="3"/>
      <c r="E27" s="3"/>
      <c r="F27" s="3"/>
      <c r="G27" s="3"/>
    </row>
    <row r="28" spans="1:9" ht="18.75">
      <c r="B28" s="163"/>
      <c r="C28" s="3"/>
      <c r="D28" s="3"/>
      <c r="E28" s="3"/>
      <c r="F28" s="3"/>
      <c r="G28" s="3"/>
    </row>
    <row r="29" spans="1:9" ht="18.75">
      <c r="B29" s="162"/>
    </row>
    <row r="50" spans="8:8" ht="29.25" customHeight="1">
      <c r="H50" s="93"/>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2151" t="s">
        <v>598</v>
      </c>
      <c r="B6" s="2152"/>
      <c r="C6" s="2152"/>
      <c r="D6" s="2152"/>
      <c r="E6" s="2152"/>
      <c r="F6" s="2152"/>
      <c r="G6" s="2152"/>
      <c r="H6" s="2152"/>
      <c r="I6" s="2152"/>
      <c r="J6" s="2152"/>
      <c r="K6" s="2152"/>
      <c r="L6" s="2152"/>
      <c r="M6" s="2152"/>
    </row>
    <row r="7" spans="1:13">
      <c r="A7" s="2152"/>
      <c r="B7" s="2152"/>
      <c r="C7" s="2152"/>
      <c r="D7" s="2152"/>
      <c r="E7" s="2152"/>
      <c r="F7" s="2152"/>
      <c r="G7" s="2152"/>
      <c r="H7" s="2152"/>
      <c r="I7" s="2152"/>
      <c r="J7" s="2152"/>
      <c r="K7" s="2152"/>
      <c r="L7" s="2152"/>
      <c r="M7" s="2152"/>
    </row>
    <row r="8" spans="1:13">
      <c r="A8" s="2152"/>
      <c r="B8" s="2152"/>
      <c r="C8" s="2152"/>
      <c r="D8" s="2152"/>
      <c r="E8" s="2152"/>
      <c r="F8" s="2152"/>
      <c r="G8" s="2152"/>
      <c r="H8" s="2152"/>
      <c r="I8" s="2152"/>
      <c r="J8" s="2152"/>
      <c r="K8" s="2152"/>
      <c r="L8" s="2152"/>
      <c r="M8" s="2152"/>
    </row>
    <row r="9" spans="1:13">
      <c r="A9" s="2152"/>
      <c r="B9" s="2152"/>
      <c r="C9" s="2152"/>
      <c r="D9" s="2152"/>
      <c r="E9" s="2152"/>
      <c r="F9" s="2152"/>
      <c r="G9" s="2152"/>
      <c r="H9" s="2152"/>
      <c r="I9" s="2152"/>
      <c r="J9" s="2152"/>
      <c r="K9" s="2152"/>
      <c r="L9" s="2152"/>
      <c r="M9" s="2152"/>
    </row>
    <row r="10" spans="1:13">
      <c r="A10" s="2152"/>
      <c r="B10" s="2152"/>
      <c r="C10" s="2152"/>
      <c r="D10" s="2152"/>
      <c r="E10" s="2152"/>
      <c r="F10" s="2152"/>
      <c r="G10" s="2152"/>
      <c r="H10" s="2152"/>
      <c r="I10" s="2152"/>
      <c r="J10" s="2152"/>
      <c r="K10" s="2152"/>
      <c r="L10" s="2152"/>
      <c r="M10" s="2152"/>
    </row>
    <row r="11" spans="1:13">
      <c r="A11" s="2152"/>
      <c r="B11" s="2152"/>
      <c r="C11" s="2152"/>
      <c r="D11" s="2152"/>
      <c r="E11" s="2152"/>
      <c r="F11" s="2152"/>
      <c r="G11" s="2152"/>
      <c r="H11" s="2152"/>
      <c r="I11" s="2152"/>
      <c r="J11" s="2152"/>
      <c r="K11" s="2152"/>
      <c r="L11" s="2152"/>
      <c r="M11" s="2152"/>
    </row>
    <row r="12" spans="1:13">
      <c r="A12" s="2152"/>
      <c r="B12" s="2152"/>
      <c r="C12" s="2152"/>
      <c r="D12" s="2152"/>
      <c r="E12" s="2152"/>
      <c r="F12" s="2152"/>
      <c r="G12" s="2152"/>
      <c r="H12" s="2152"/>
      <c r="I12" s="2152"/>
      <c r="J12" s="2152"/>
      <c r="K12" s="2152"/>
      <c r="L12" s="2152"/>
      <c r="M12" s="2152"/>
    </row>
    <row r="13" spans="1:13">
      <c r="A13" s="2152"/>
      <c r="B13" s="2152"/>
      <c r="C13" s="2152"/>
      <c r="D13" s="2152"/>
      <c r="E13" s="2152"/>
      <c r="F13" s="2152"/>
      <c r="G13" s="2152"/>
      <c r="H13" s="2152"/>
      <c r="I13" s="2152"/>
      <c r="J13" s="2152"/>
      <c r="K13" s="2152"/>
      <c r="L13" s="2152"/>
      <c r="M13" s="2152"/>
    </row>
    <row r="14" spans="1:13">
      <c r="A14" s="2152"/>
      <c r="B14" s="2152"/>
      <c r="C14" s="2152"/>
      <c r="D14" s="2152"/>
      <c r="E14" s="2152"/>
      <c r="F14" s="2152"/>
      <c r="G14" s="2152"/>
      <c r="H14" s="2152"/>
      <c r="I14" s="2152"/>
      <c r="J14" s="2152"/>
      <c r="K14" s="2152"/>
      <c r="L14" s="2152"/>
      <c r="M14" s="2152"/>
    </row>
    <row r="15" spans="1:13">
      <c r="A15" s="2152"/>
      <c r="B15" s="2152"/>
      <c r="C15" s="2152"/>
      <c r="D15" s="2152"/>
      <c r="E15" s="2152"/>
      <c r="F15" s="2152"/>
      <c r="G15" s="2152"/>
      <c r="H15" s="2152"/>
      <c r="I15" s="2152"/>
      <c r="J15" s="2152"/>
      <c r="K15" s="2152"/>
      <c r="L15" s="2152"/>
      <c r="M15" s="2152"/>
    </row>
    <row r="16" spans="1:13">
      <c r="A16" s="2152"/>
      <c r="B16" s="2152"/>
      <c r="C16" s="2152"/>
      <c r="D16" s="2152"/>
      <c r="E16" s="2152"/>
      <c r="F16" s="2152"/>
      <c r="G16" s="2152"/>
      <c r="H16" s="2152"/>
      <c r="I16" s="2152"/>
      <c r="J16" s="2152"/>
      <c r="K16" s="2152"/>
      <c r="L16" s="2152"/>
      <c r="M16" s="2152"/>
    </row>
    <row r="17" spans="1:16">
      <c r="A17" s="2152"/>
      <c r="B17" s="2152"/>
      <c r="C17" s="2152"/>
      <c r="D17" s="2152"/>
      <c r="E17" s="2152"/>
      <c r="F17" s="2152"/>
      <c r="G17" s="2152"/>
      <c r="H17" s="2152"/>
      <c r="I17" s="2152"/>
      <c r="J17" s="2152"/>
      <c r="K17" s="2152"/>
      <c r="L17" s="2152"/>
      <c r="M17" s="2152"/>
    </row>
    <row r="18" spans="1:16">
      <c r="A18" s="2152"/>
      <c r="B18" s="2152"/>
      <c r="C18" s="2152"/>
      <c r="D18" s="2152"/>
      <c r="E18" s="2152"/>
      <c r="F18" s="2152"/>
      <c r="G18" s="2152"/>
      <c r="H18" s="2152"/>
      <c r="I18" s="2152"/>
      <c r="J18" s="2152"/>
      <c r="K18" s="2152"/>
      <c r="L18" s="2152"/>
      <c r="M18" s="2152"/>
    </row>
    <row r="19" spans="1:16">
      <c r="A19" s="2152"/>
      <c r="B19" s="2152"/>
      <c r="C19" s="2152"/>
      <c r="D19" s="2152"/>
      <c r="E19" s="2152"/>
      <c r="F19" s="2152"/>
      <c r="G19" s="2152"/>
      <c r="H19" s="2152"/>
      <c r="I19" s="2152"/>
      <c r="J19" s="2152"/>
      <c r="K19" s="2152"/>
      <c r="L19" s="2152"/>
      <c r="M19" s="2152"/>
    </row>
    <row r="20" spans="1:16">
      <c r="A20" s="2152"/>
      <c r="B20" s="2152"/>
      <c r="C20" s="2152"/>
      <c r="D20" s="2152"/>
      <c r="E20" s="2152"/>
      <c r="F20" s="2152"/>
      <c r="G20" s="2152"/>
      <c r="H20" s="2152"/>
      <c r="I20" s="2152"/>
      <c r="J20" s="2152"/>
      <c r="K20" s="2152"/>
      <c r="L20" s="2152"/>
      <c r="M20" s="2152"/>
    </row>
    <row r="21" spans="1:16">
      <c r="A21" s="2152"/>
      <c r="B21" s="2152"/>
      <c r="C21" s="2152"/>
      <c r="D21" s="2152"/>
      <c r="E21" s="2152"/>
      <c r="F21" s="2152"/>
      <c r="G21" s="2152"/>
      <c r="H21" s="2152"/>
      <c r="I21" s="2152"/>
      <c r="J21" s="2152"/>
      <c r="K21" s="2152"/>
      <c r="L21" s="2152"/>
      <c r="M21" s="2152"/>
    </row>
    <row r="22" spans="1:16">
      <c r="A22" s="2152"/>
      <c r="B22" s="2152"/>
      <c r="C22" s="2152"/>
      <c r="D22" s="2152"/>
      <c r="E22" s="2152"/>
      <c r="F22" s="2152"/>
      <c r="G22" s="2152"/>
      <c r="H22" s="2152"/>
      <c r="I22" s="2152"/>
      <c r="J22" s="2152"/>
      <c r="K22" s="2152"/>
      <c r="L22" s="2152"/>
      <c r="M22" s="2152"/>
    </row>
    <row r="23" spans="1:16">
      <c r="A23" s="2152"/>
      <c r="B23" s="2152"/>
      <c r="C23" s="2152"/>
      <c r="D23" s="2152"/>
      <c r="E23" s="2152"/>
      <c r="F23" s="2152"/>
      <c r="G23" s="2152"/>
      <c r="H23" s="2152"/>
      <c r="I23" s="2152"/>
      <c r="J23" s="2152"/>
      <c r="K23" s="2152"/>
      <c r="L23" s="2152"/>
      <c r="M23" s="2152"/>
    </row>
    <row r="24" spans="1:16">
      <c r="A24" s="2152"/>
      <c r="B24" s="2152"/>
      <c r="C24" s="2152"/>
      <c r="D24" s="2152"/>
      <c r="E24" s="2152"/>
      <c r="F24" s="2152"/>
      <c r="G24" s="2152"/>
      <c r="H24" s="2152"/>
      <c r="I24" s="2152"/>
      <c r="J24" s="2152"/>
      <c r="K24" s="2152"/>
      <c r="L24" s="2152"/>
      <c r="M24" s="2152"/>
    </row>
    <row r="25" spans="1:16">
      <c r="A25" s="2152"/>
      <c r="B25" s="2152"/>
      <c r="C25" s="2152"/>
      <c r="D25" s="2152"/>
      <c r="E25" s="2152"/>
      <c r="F25" s="2152"/>
      <c r="G25" s="2152"/>
      <c r="H25" s="2152"/>
      <c r="I25" s="2152"/>
      <c r="J25" s="2152"/>
      <c r="K25" s="2152"/>
      <c r="L25" s="2152"/>
      <c r="M25" s="2152"/>
    </row>
    <row r="26" spans="1:16">
      <c r="A26" s="2152"/>
      <c r="B26" s="2152"/>
      <c r="C26" s="2152"/>
      <c r="D26" s="2152"/>
      <c r="E26" s="2152"/>
      <c r="F26" s="2152"/>
      <c r="G26" s="2152"/>
      <c r="H26" s="2152"/>
      <c r="I26" s="2152"/>
      <c r="J26" s="2152"/>
      <c r="K26" s="2152"/>
      <c r="L26" s="2152"/>
      <c r="M26" s="2152"/>
      <c r="P26" t="s">
        <v>599</v>
      </c>
    </row>
    <row r="27" spans="1:16">
      <c r="A27" s="2152"/>
      <c r="B27" s="2152"/>
      <c r="C27" s="2152"/>
      <c r="D27" s="2152"/>
      <c r="E27" s="2152"/>
      <c r="F27" s="2152"/>
      <c r="G27" s="2152"/>
      <c r="H27" s="2152"/>
      <c r="I27" s="2152"/>
      <c r="J27" s="2152"/>
      <c r="K27" s="2152"/>
      <c r="L27" s="2152"/>
      <c r="M27" s="2152"/>
    </row>
    <row r="28" spans="1:16">
      <c r="A28" s="2152"/>
      <c r="B28" s="2152"/>
      <c r="C28" s="2152"/>
      <c r="D28" s="2152"/>
      <c r="E28" s="2152"/>
      <c r="F28" s="2152"/>
      <c r="G28" s="2152"/>
      <c r="H28" s="2152"/>
      <c r="I28" s="2152"/>
      <c r="J28" s="2152"/>
      <c r="K28" s="2152"/>
      <c r="L28" s="2152"/>
      <c r="M28" s="2152"/>
    </row>
    <row r="29" spans="1:16">
      <c r="A29" s="2152"/>
      <c r="B29" s="2152"/>
      <c r="C29" s="2152"/>
      <c r="D29" s="2152"/>
      <c r="E29" s="2152"/>
      <c r="F29" s="2152"/>
      <c r="G29" s="2152"/>
      <c r="H29" s="2152"/>
      <c r="I29" s="2152"/>
      <c r="J29" s="2152"/>
      <c r="K29" s="2152"/>
      <c r="L29" s="2152"/>
      <c r="M29" s="2152"/>
    </row>
    <row r="30" spans="1:16">
      <c r="A30" s="2152"/>
      <c r="B30" s="2152"/>
      <c r="C30" s="2152"/>
      <c r="D30" s="2152"/>
      <c r="E30" s="2152"/>
      <c r="F30" s="2152"/>
      <c r="G30" s="2152"/>
      <c r="H30" s="2152"/>
      <c r="I30" s="2152"/>
      <c r="J30" s="2152"/>
      <c r="K30" s="2152"/>
      <c r="L30" s="2152"/>
      <c r="M30" s="2152"/>
    </row>
    <row r="31" spans="1:16">
      <c r="A31" s="2152"/>
      <c r="B31" s="2152"/>
      <c r="C31" s="2152"/>
      <c r="D31" s="2152"/>
      <c r="E31" s="2152"/>
      <c r="F31" s="2152"/>
      <c r="G31" s="2152"/>
      <c r="H31" s="2152"/>
      <c r="I31" s="2152"/>
      <c r="J31" s="2152"/>
      <c r="K31" s="2152"/>
      <c r="L31" s="2152"/>
      <c r="M31" s="2152"/>
    </row>
    <row r="32" spans="1:16">
      <c r="A32" s="2152"/>
      <c r="B32" s="2152"/>
      <c r="C32" s="2152"/>
      <c r="D32" s="2152"/>
      <c r="E32" s="2152"/>
      <c r="F32" s="2152"/>
      <c r="G32" s="2152"/>
      <c r="H32" s="2152"/>
      <c r="I32" s="2152"/>
      <c r="J32" s="2152"/>
      <c r="K32" s="2152"/>
      <c r="L32" s="2152"/>
      <c r="M32" s="2152"/>
    </row>
    <row r="33" spans="1:13">
      <c r="A33" s="2152"/>
      <c r="B33" s="2152"/>
      <c r="C33" s="2152"/>
      <c r="D33" s="2152"/>
      <c r="E33" s="2152"/>
      <c r="F33" s="2152"/>
      <c r="G33" s="2152"/>
      <c r="H33" s="2152"/>
      <c r="I33" s="2152"/>
      <c r="J33" s="2152"/>
      <c r="K33" s="2152"/>
      <c r="L33" s="2152"/>
      <c r="M33" s="2152"/>
    </row>
    <row r="34" spans="1:13">
      <c r="A34" s="2152"/>
      <c r="B34" s="2152"/>
      <c r="C34" s="2152"/>
      <c r="D34" s="2152"/>
      <c r="E34" s="2152"/>
      <c r="F34" s="2152"/>
      <c r="G34" s="2152"/>
      <c r="H34" s="2152"/>
      <c r="I34" s="2152"/>
      <c r="J34" s="2152"/>
      <c r="K34" s="2152"/>
      <c r="L34" s="2152"/>
      <c r="M34" s="2152"/>
    </row>
    <row r="35" spans="1:13">
      <c r="A35" s="2152"/>
      <c r="B35" s="2152"/>
      <c r="C35" s="2152"/>
      <c r="D35" s="2152"/>
      <c r="E35" s="2152"/>
      <c r="F35" s="2152"/>
      <c r="G35" s="2152"/>
      <c r="H35" s="2152"/>
      <c r="I35" s="2152"/>
      <c r="J35" s="2152"/>
      <c r="K35" s="2152"/>
      <c r="L35" s="2152"/>
      <c r="M35" s="2152"/>
    </row>
    <row r="36" spans="1:13">
      <c r="A36" s="2152"/>
      <c r="B36" s="2152"/>
      <c r="C36" s="2152"/>
      <c r="D36" s="2152"/>
      <c r="E36" s="2152"/>
      <c r="F36" s="2152"/>
      <c r="G36" s="2152"/>
      <c r="H36" s="2152"/>
      <c r="I36" s="2152"/>
      <c r="J36" s="2152"/>
      <c r="K36" s="2152"/>
      <c r="L36" s="2152"/>
      <c r="M36" s="2152"/>
    </row>
    <row r="37" spans="1:13">
      <c r="A37" s="2152"/>
      <c r="B37" s="2152"/>
      <c r="C37" s="2152"/>
      <c r="D37" s="2152"/>
      <c r="E37" s="2152"/>
      <c r="F37" s="2152"/>
      <c r="G37" s="2152"/>
      <c r="H37" s="2152"/>
      <c r="I37" s="2152"/>
      <c r="J37" s="2152"/>
      <c r="K37" s="2152"/>
      <c r="L37" s="2152"/>
      <c r="M37" s="2152"/>
    </row>
    <row r="38" spans="1:13">
      <c r="A38" s="2152"/>
      <c r="B38" s="2152"/>
      <c r="C38" s="2152"/>
      <c r="D38" s="2152"/>
      <c r="E38" s="2152"/>
      <c r="F38" s="2152"/>
      <c r="G38" s="2152"/>
      <c r="H38" s="2152"/>
      <c r="I38" s="2152"/>
      <c r="J38" s="2152"/>
      <c r="K38" s="2152"/>
      <c r="L38" s="2152"/>
      <c r="M38" s="2152"/>
    </row>
    <row r="39" spans="1:13">
      <c r="A39" s="2152"/>
      <c r="B39" s="2152"/>
      <c r="C39" s="2152"/>
      <c r="D39" s="2152"/>
      <c r="E39" s="2152"/>
      <c r="F39" s="2152"/>
      <c r="G39" s="2152"/>
      <c r="H39" s="2152"/>
      <c r="I39" s="2152"/>
      <c r="J39" s="2152"/>
      <c r="K39" s="2152"/>
      <c r="L39" s="2152"/>
      <c r="M39" s="2152"/>
    </row>
    <row r="40" spans="1:13">
      <c r="A40" s="2152"/>
      <c r="B40" s="2152"/>
      <c r="C40" s="2152"/>
      <c r="D40" s="2152"/>
      <c r="E40" s="2152"/>
      <c r="F40" s="2152"/>
      <c r="G40" s="2152"/>
      <c r="H40" s="2152"/>
      <c r="I40" s="2152"/>
      <c r="J40" s="2152"/>
      <c r="K40" s="2152"/>
      <c r="L40" s="2152"/>
      <c r="M40" s="2152"/>
    </row>
    <row r="41" spans="1:13">
      <c r="A41" s="2152"/>
      <c r="B41" s="2152"/>
      <c r="C41" s="2152"/>
      <c r="D41" s="2152"/>
      <c r="E41" s="2152"/>
      <c r="F41" s="2152"/>
      <c r="G41" s="2152"/>
      <c r="H41" s="2152"/>
      <c r="I41" s="2152"/>
      <c r="J41" s="2152"/>
      <c r="K41" s="2152"/>
      <c r="L41" s="2152"/>
      <c r="M41" s="2152"/>
    </row>
    <row r="42" spans="1:13">
      <c r="A42" s="2152"/>
      <c r="B42" s="2152"/>
      <c r="C42" s="2152"/>
      <c r="D42" s="2152"/>
      <c r="E42" s="2152"/>
      <c r="F42" s="2152"/>
      <c r="G42" s="2152"/>
      <c r="H42" s="2152"/>
      <c r="I42" s="2152"/>
      <c r="J42" s="2152"/>
      <c r="K42" s="2152"/>
      <c r="L42" s="2152"/>
      <c r="M42" s="2152"/>
    </row>
    <row r="43" spans="1:13" ht="48" customHeight="1">
      <c r="A43" s="2152"/>
      <c r="B43" s="2152"/>
      <c r="C43" s="2152"/>
      <c r="D43" s="2152"/>
      <c r="E43" s="2152"/>
      <c r="F43" s="2152"/>
      <c r="G43" s="2152"/>
      <c r="H43" s="2152"/>
      <c r="I43" s="2152"/>
      <c r="J43" s="2152"/>
      <c r="K43" s="2152"/>
      <c r="L43" s="2152"/>
      <c r="M43" s="2152"/>
    </row>
    <row r="44" spans="1:13" ht="162" customHeight="1">
      <c r="A44" s="2152"/>
      <c r="B44" s="2152"/>
      <c r="C44" s="2152"/>
      <c r="D44" s="2152"/>
      <c r="E44" s="2152"/>
      <c r="F44" s="2152"/>
      <c r="G44" s="2152"/>
      <c r="H44" s="2152"/>
      <c r="I44" s="2152"/>
      <c r="J44" s="2152"/>
      <c r="K44" s="2152"/>
      <c r="L44" s="2152"/>
      <c r="M44" s="2152"/>
    </row>
    <row r="45" spans="1:13">
      <c r="A45" s="2152"/>
      <c r="B45" s="2152"/>
      <c r="C45" s="2152"/>
      <c r="D45" s="2152"/>
      <c r="E45" s="2152"/>
      <c r="F45" s="2152"/>
      <c r="G45" s="2152"/>
      <c r="H45" s="2152"/>
      <c r="I45" s="2152"/>
      <c r="J45" s="2152"/>
      <c r="K45" s="2152"/>
      <c r="L45" s="2152"/>
      <c r="M45" s="2152"/>
    </row>
    <row r="46" spans="1:13" ht="63" customHeight="1">
      <c r="A46" s="2152"/>
      <c r="B46" s="2152"/>
      <c r="C46" s="2152"/>
      <c r="D46" s="2152"/>
      <c r="E46" s="2152"/>
      <c r="F46" s="2152"/>
      <c r="G46" s="2152"/>
      <c r="H46" s="2152"/>
      <c r="I46" s="2152"/>
      <c r="J46" s="2152"/>
      <c r="K46" s="2152"/>
      <c r="L46" s="2152"/>
      <c r="M46" s="2152"/>
    </row>
  </sheetData>
  <mergeCells count="1">
    <mergeCell ref="A6:M46"/>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2">
    <tabColor rgb="FF0070C0"/>
    <pageSetUpPr fitToPage="1"/>
  </sheetPr>
  <dimension ref="A3:T67"/>
  <sheetViews>
    <sheetView showGridLines="0" view="pageBreakPreview" zoomScale="55" zoomScaleNormal="100" zoomScaleSheetLayoutView="55" workbookViewId="0">
      <selection activeCell="K26" sqref="K26"/>
    </sheetView>
  </sheetViews>
  <sheetFormatPr defaultColWidth="11.42578125" defaultRowHeight="3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8" customWidth="1"/>
    <col min="11" max="11" width="48.140625" style="1662" customWidth="1"/>
    <col min="12" max="12" width="43" style="1663" customWidth="1"/>
    <col min="13" max="13" width="25.85546875" style="1663" bestFit="1" customWidth="1"/>
    <col min="14" max="14" width="50" style="1663" bestFit="1" customWidth="1"/>
    <col min="15" max="15" width="16.28515625" style="1663" bestFit="1" customWidth="1"/>
    <col min="16" max="16" width="28.140625" style="1663" bestFit="1" customWidth="1"/>
    <col min="17" max="17" width="25.85546875" style="1663" customWidth="1"/>
    <col min="18" max="18" width="5.28515625" style="1663" bestFit="1" customWidth="1"/>
    <col min="19" max="19" width="11.42578125" style="1663"/>
    <col min="20" max="20" width="11.42578125" style="1076"/>
  </cols>
  <sheetData>
    <row r="3" spans="1:15">
      <c r="M3" s="1663" t="s">
        <v>271</v>
      </c>
      <c r="N3" s="1663" t="s">
        <v>600</v>
      </c>
    </row>
    <row r="4" spans="1:15" ht="33" customHeight="1">
      <c r="K4" s="1076"/>
      <c r="L4" s="1663" t="str">
        <f>+'III.5.3.Afil. SVDS'!A5</f>
        <v>Dic. 2008</v>
      </c>
    </row>
    <row r="5" spans="1:15">
      <c r="L5" s="1663" t="str">
        <f>+'III.5.3.Afil. SVDS'!A22</f>
        <v>Abr.2025</v>
      </c>
      <c r="M5" s="1663">
        <f>+'III.5.3.Afil. SVDS'!B22</f>
        <v>2226931</v>
      </c>
    </row>
    <row r="6" spans="1:15" ht="35.25" customHeight="1">
      <c r="A6" s="2156" t="s">
        <v>601</v>
      </c>
      <c r="B6" s="2157"/>
      <c r="C6" s="2157"/>
      <c r="D6" s="2157"/>
      <c r="E6" s="2157"/>
      <c r="F6" s="2157"/>
      <c r="G6" s="2157"/>
      <c r="H6" s="2157"/>
      <c r="I6" s="2157"/>
      <c r="K6" s="1076"/>
    </row>
    <row r="7" spans="1:15">
      <c r="A7" s="2157"/>
      <c r="B7" s="2157"/>
      <c r="C7" s="2157"/>
      <c r="D7" s="2157"/>
      <c r="E7" s="2157"/>
      <c r="F7" s="2157"/>
      <c r="G7" s="2157"/>
      <c r="H7" s="2157"/>
      <c r="I7" s="2157"/>
    </row>
    <row r="8" spans="1:15">
      <c r="A8" s="2157"/>
      <c r="B8" s="2157"/>
      <c r="C8" s="2157"/>
      <c r="D8" s="2157"/>
      <c r="E8" s="2157"/>
      <c r="F8" s="2157"/>
      <c r="G8" s="2157"/>
      <c r="H8" s="2157"/>
      <c r="I8" s="2157"/>
      <c r="L8" s="1085" t="str">
        <f>+'III.5.3.Afil. SVDS'!B4</f>
        <v>Cotizantes</v>
      </c>
      <c r="M8" s="1085" t="str">
        <f>+'III.5.3.Afil. SVDS'!C4</f>
        <v xml:space="preserve">Afiliados </v>
      </c>
      <c r="N8" s="1085" t="s">
        <v>602</v>
      </c>
    </row>
    <row r="9" spans="1:15">
      <c r="A9" s="2157"/>
      <c r="B9" s="2157"/>
      <c r="C9" s="2157"/>
      <c r="D9" s="2157"/>
      <c r="E9" s="2157"/>
      <c r="F9" s="2157"/>
      <c r="G9" s="2157"/>
      <c r="H9" s="2157"/>
      <c r="I9" s="2157"/>
      <c r="K9" s="1085" t="str">
        <f>+'III.5.3.Afil. SVDS'!A5</f>
        <v>Dic. 2008</v>
      </c>
      <c r="L9" s="1664">
        <f>+'III.5.3.Afil. SVDS'!B5</f>
        <v>929743</v>
      </c>
      <c r="M9" s="1664">
        <f>+'III.5.3.Afil. SVDS'!C5</f>
        <v>1983720</v>
      </c>
      <c r="N9" s="1665">
        <f>+'III.5.3.Afil. SVDS'!D5</f>
        <v>0.46868660899723752</v>
      </c>
    </row>
    <row r="10" spans="1:15">
      <c r="A10" s="2157"/>
      <c r="B10" s="2157"/>
      <c r="C10" s="2157"/>
      <c r="D10" s="2157"/>
      <c r="E10" s="2157"/>
      <c r="F10" s="2157"/>
      <c r="G10" s="2157"/>
      <c r="H10" s="2157"/>
      <c r="I10" s="2157"/>
      <c r="K10" s="1085" t="str">
        <f>+'III.5.3.Afil. SVDS'!A22</f>
        <v>Abr.2025</v>
      </c>
      <c r="L10" s="1664">
        <f>+'III.5.3.Afil. SVDS'!B22</f>
        <v>2226931</v>
      </c>
      <c r="M10" s="1664">
        <f>+'III.5.3.Afil. SVDS'!C22</f>
        <v>5392563</v>
      </c>
      <c r="N10" s="1665">
        <f>+'III.5.3.Afil. SVDS'!D22</f>
        <v>0.41296337196246014</v>
      </c>
      <c r="O10" s="1666">
        <f>+L10/L9</f>
        <v>2.395211364861042</v>
      </c>
    </row>
    <row r="11" spans="1:15">
      <c r="A11" s="2157"/>
      <c r="B11" s="2157"/>
      <c r="C11" s="2157"/>
      <c r="D11" s="2157"/>
      <c r="E11" s="2157"/>
      <c r="F11" s="2157"/>
      <c r="G11" s="2157"/>
      <c r="H11" s="2157"/>
      <c r="I11" s="2157"/>
      <c r="L11" s="2153" t="s">
        <v>603</v>
      </c>
      <c r="M11" s="2154"/>
      <c r="N11" s="2155"/>
    </row>
    <row r="12" spans="1:15">
      <c r="A12" s="2157"/>
      <c r="B12" s="2157"/>
      <c r="C12" s="2157"/>
      <c r="D12" s="2157"/>
      <c r="E12" s="2157"/>
      <c r="F12" s="2157"/>
      <c r="G12" s="2157"/>
      <c r="H12" s="2157"/>
      <c r="I12" s="2157"/>
      <c r="L12" s="1667">
        <f>+'III.5.3.Afil. SVDS'!P29</f>
        <v>5.4442138275103927E-2</v>
      </c>
      <c r="M12" s="1667">
        <f>+'III.5.3.Afil. SVDS'!O29</f>
        <v>6.0745921717210438E-2</v>
      </c>
      <c r="N12" s="1667"/>
    </row>
    <row r="13" spans="1:15">
      <c r="A13" s="2157"/>
      <c r="B13" s="2157"/>
      <c r="C13" s="2157"/>
      <c r="D13" s="2157"/>
      <c r="E13" s="2157"/>
      <c r="F13" s="2157"/>
      <c r="G13" s="2157"/>
      <c r="H13" s="2157"/>
      <c r="I13" s="2157"/>
    </row>
    <row r="14" spans="1:15" ht="63">
      <c r="A14" s="2157"/>
      <c r="B14" s="2157"/>
      <c r="C14" s="2157"/>
      <c r="D14" s="2157"/>
      <c r="E14" s="2157"/>
      <c r="F14" s="2157"/>
      <c r="G14" s="2157"/>
      <c r="H14" s="2157"/>
      <c r="I14" s="2157"/>
      <c r="K14" s="1668" t="str">
        <f>+Tabla7[[#Headers],[Densidad de Cotizantes]]</f>
        <v>Densidad de Cotizantes</v>
      </c>
      <c r="L14" s="1085" t="str">
        <f>+'III.5.3.Afil. SVDS'!D4</f>
        <v>Densidad de Cotizantes</v>
      </c>
      <c r="M14" s="1085" t="s">
        <v>604</v>
      </c>
      <c r="N14" s="1669"/>
    </row>
    <row r="15" spans="1:15">
      <c r="A15" s="2157"/>
      <c r="B15" s="2157"/>
      <c r="C15" s="2157"/>
      <c r="D15" s="2157"/>
      <c r="E15" s="2157"/>
      <c r="F15" s="2157"/>
      <c r="G15" s="2157"/>
      <c r="H15" s="2157"/>
      <c r="I15" s="2157"/>
      <c r="K15" s="1662">
        <f>+'III.5.3.Afil. SVDS'!D5</f>
        <v>0.46868660899723752</v>
      </c>
      <c r="L15" s="1665">
        <f>+'III.5.3.Afil. SVDS'!D22</f>
        <v>0.41296337196246014</v>
      </c>
      <c r="M15" s="1665">
        <f>+'III.5.3.Afil. SVDS'!D5-'III.5.3.Afil. SVDS'!D22</f>
        <v>5.5723237034777384E-2</v>
      </c>
      <c r="N15" s="1669"/>
    </row>
    <row r="16" spans="1:15">
      <c r="A16" s="2157"/>
      <c r="B16" s="2157"/>
      <c r="C16" s="2157"/>
      <c r="D16" s="2157"/>
      <c r="E16" s="2157"/>
      <c r="F16" s="2157"/>
      <c r="G16" s="2157"/>
      <c r="H16" s="2157"/>
      <c r="I16" s="2157"/>
      <c r="L16" s="1662"/>
      <c r="M16" s="1662"/>
      <c r="N16" s="1662"/>
      <c r="O16" s="1662"/>
    </row>
    <row r="17" spans="1:20">
      <c r="A17" s="2157"/>
      <c r="B17" s="2157"/>
      <c r="C17" s="2157"/>
      <c r="D17" s="2157"/>
      <c r="E17" s="2157"/>
      <c r="F17" s="2157"/>
      <c r="G17" s="2157"/>
      <c r="H17" s="2157"/>
      <c r="I17" s="2157"/>
      <c r="L17" s="1670" t="str">
        <f>+'III.5.5.Cotiz. x rango de edad'!A5</f>
        <v xml:space="preserve">Menor de 19 </v>
      </c>
      <c r="M17" s="1671">
        <f>+'III.5.5.Cotiz. x rango de edad'!B5</f>
        <v>36384</v>
      </c>
      <c r="N17" s="1623">
        <f>+M17/'III.5.5.Cotiz. x rango de edad'!$B$15</f>
        <v>1.6338180213037585E-2</v>
      </c>
      <c r="S17" s="1076"/>
    </row>
    <row r="18" spans="1:20">
      <c r="A18" s="2157"/>
      <c r="B18" s="2157"/>
      <c r="C18" s="2157"/>
      <c r="D18" s="2157"/>
      <c r="E18" s="2157"/>
      <c r="F18" s="2157"/>
      <c r="G18" s="2157"/>
      <c r="H18" s="2157"/>
      <c r="I18" s="2157"/>
      <c r="L18" s="1670" t="s">
        <v>605</v>
      </c>
      <c r="M18" s="1671">
        <f>+'III.5.5.Cotiz. x rango de edad'!B6+'III.5.5.Cotiz. x rango de edad'!B7+'III.5.5.Cotiz. x rango de edad'!B8+'III.5.5.Cotiz. x rango de edad'!B9+'III.5.5.Cotiz. x rango de edad'!B10+'III.5.5.Cotiz. x rango de edad'!B11</f>
        <v>1682531</v>
      </c>
      <c r="N18" s="1623">
        <f>+M18/'III.5.5.Cotiz. x rango de edad'!$B$15</f>
        <v>0.7555380027490749</v>
      </c>
    </row>
    <row r="19" spans="1:20">
      <c r="A19" s="2157"/>
      <c r="B19" s="2157"/>
      <c r="C19" s="2157"/>
      <c r="D19" s="2157"/>
      <c r="E19" s="2157"/>
      <c r="F19" s="2157"/>
      <c r="G19" s="2157"/>
      <c r="H19" s="2157"/>
      <c r="I19" s="2157"/>
      <c r="L19" s="1670" t="s">
        <v>606</v>
      </c>
      <c r="M19" s="1671">
        <f>+'III.5.5.Cotiz. x rango de edad'!B12+'III.5.5.Cotiz. x rango de edad'!B13</f>
        <v>310137</v>
      </c>
      <c r="N19" s="1623">
        <f>+M19/'III.5.5.Cotiz. x rango de edad'!$B$15</f>
        <v>0.13926655114145881</v>
      </c>
    </row>
    <row r="20" spans="1:20">
      <c r="A20" s="2157"/>
      <c r="B20" s="2157"/>
      <c r="C20" s="2157"/>
      <c r="D20" s="2157"/>
      <c r="E20" s="2157"/>
      <c r="F20" s="2157"/>
      <c r="G20" s="2157"/>
      <c r="H20" s="2157"/>
      <c r="I20" s="2157"/>
      <c r="L20" s="1670" t="s">
        <v>607</v>
      </c>
      <c r="M20" s="1671">
        <f>+'III.5.5.Cotiz. x rango de edad'!B14</f>
        <v>197879</v>
      </c>
      <c r="N20" s="1623">
        <f>+M20/'III.5.5.Cotiz. x rango de edad'!$B$15</f>
        <v>8.8857265896428755E-2</v>
      </c>
    </row>
    <row r="21" spans="1:20">
      <c r="A21" s="2157"/>
      <c r="B21" s="2157"/>
      <c r="C21" s="2157"/>
      <c r="D21" s="2157"/>
      <c r="E21" s="2157"/>
      <c r="F21" s="2157"/>
      <c r="G21" s="2157"/>
      <c r="H21" s="2157"/>
      <c r="I21" s="2157"/>
      <c r="N21" s="1622">
        <f>SUM(N17:N20)</f>
        <v>1</v>
      </c>
    </row>
    <row r="22" spans="1:20">
      <c r="A22" s="2157"/>
      <c r="B22" s="2157"/>
      <c r="C22" s="2157"/>
      <c r="D22" s="2157"/>
      <c r="E22" s="2157"/>
      <c r="F22" s="2157"/>
      <c r="G22" s="2157"/>
      <c r="H22" s="2157"/>
      <c r="I22" s="2157"/>
      <c r="J22" s="12"/>
      <c r="K22" s="1663"/>
      <c r="L22" s="1672" t="s">
        <v>1</v>
      </c>
      <c r="M22" s="1673" t="s">
        <v>608</v>
      </c>
      <c r="N22" s="1673" t="s">
        <v>239</v>
      </c>
      <c r="T22" s="1663"/>
    </row>
    <row r="23" spans="1:20">
      <c r="A23" s="2157"/>
      <c r="B23" s="2157"/>
      <c r="C23" s="2157"/>
      <c r="D23" s="2157"/>
      <c r="E23" s="2157"/>
      <c r="F23" s="2157"/>
      <c r="G23" s="2157"/>
      <c r="H23" s="2157"/>
      <c r="I23" s="2157"/>
      <c r="J23" s="12"/>
      <c r="K23" s="1663"/>
      <c r="L23" s="1672" t="s">
        <v>271</v>
      </c>
      <c r="M23" s="1673">
        <f>+'III.5.7.Cot.Afil X Sexo'!F22/'III.5.7.Cot.Afil X Sexo'!H22</f>
        <v>0.51505592225354091</v>
      </c>
      <c r="N23" s="1673">
        <f>+'III.5.7.Cot.Afil X Sexo'!G22/'III.5.7.Cot.Afil X Sexo'!H22</f>
        <v>0.48494407774645915</v>
      </c>
      <c r="O23" s="1662">
        <f>SUM(M23:N23)</f>
        <v>1</v>
      </c>
      <c r="T23" s="1663"/>
    </row>
    <row r="24" spans="1:20">
      <c r="A24" s="2157"/>
      <c r="B24" s="2157"/>
      <c r="C24" s="2157"/>
      <c r="D24" s="2157"/>
      <c r="E24" s="2157"/>
      <c r="F24" s="2157"/>
      <c r="G24" s="2157"/>
      <c r="H24" s="2157"/>
      <c r="I24" s="2157"/>
      <c r="J24" s="12"/>
      <c r="K24" s="1663"/>
      <c r="L24" s="1672" t="s">
        <v>272</v>
      </c>
      <c r="M24" s="1673">
        <f>+'III.5.7.Cot.Afil X Sexo'!C22/'III.5.7.Cot.Afil X Sexo'!E22</f>
        <v>0.54413995719660579</v>
      </c>
      <c r="N24" s="1673">
        <f>+'III.5.7.Cot.Afil X Sexo'!D22/'III.5.7.Cot.Afil X Sexo'!E22</f>
        <v>0.45586004280339421</v>
      </c>
      <c r="O24" s="1662">
        <f>SUM(M24:N24)</f>
        <v>1</v>
      </c>
      <c r="T24" s="1663"/>
    </row>
    <row r="25" spans="1:20">
      <c r="A25" s="2157"/>
      <c r="B25" s="2157"/>
      <c r="C25" s="2157"/>
      <c r="D25" s="2157"/>
      <c r="E25" s="2157"/>
      <c r="F25" s="2157"/>
      <c r="G25" s="2157"/>
      <c r="H25" s="2157"/>
      <c r="I25" s="2157"/>
      <c r="J25" s="12"/>
      <c r="K25" s="1663"/>
      <c r="P25" s="1662"/>
      <c r="S25" s="1076"/>
    </row>
    <row r="26" spans="1:20" ht="63">
      <c r="A26" s="2157"/>
      <c r="B26" s="2157"/>
      <c r="C26" s="2157"/>
      <c r="D26" s="2157"/>
      <c r="E26" s="2157"/>
      <c r="F26" s="2157"/>
      <c r="G26" s="2157"/>
      <c r="H26" s="2157"/>
      <c r="I26" s="2157"/>
      <c r="K26" s="1662" t="s">
        <v>609</v>
      </c>
      <c r="L26" s="1079" t="str">
        <f>+Tabla20[[#Headers],[Cantidad de Salarios Mínimos Cotizables]]</f>
        <v>Cantidad de Salarios Mínimos Cotizables</v>
      </c>
      <c r="M26" s="1674" t="str">
        <f>+Tabla20[[#Headers],[Cotizantes]]</f>
        <v>Cotizantes</v>
      </c>
      <c r="N26" s="1079" t="s">
        <v>266</v>
      </c>
      <c r="O26" s="1675"/>
      <c r="P26" s="1079" t="s">
        <v>610</v>
      </c>
      <c r="Q26" s="1664">
        <f>+'III.5.8.Traspasos anual'!B23</f>
        <v>756066</v>
      </c>
      <c r="R26" s="1663" t="s">
        <v>611</v>
      </c>
    </row>
    <row r="27" spans="1:20">
      <c r="A27" s="2157"/>
      <c r="B27" s="2157"/>
      <c r="C27" s="2157"/>
      <c r="D27" s="2157"/>
      <c r="E27" s="2157"/>
      <c r="F27" s="2157"/>
      <c r="G27" s="2157"/>
      <c r="H27" s="2157"/>
      <c r="I27" s="2157"/>
      <c r="L27" s="1673" t="str">
        <f>+'III.5.6.Cotiz x sal. min. cot.'!A5</f>
        <v>0-1   salario</v>
      </c>
      <c r="M27" s="1671">
        <f>+'III.5.6.Cotiz x sal. min. cot.'!B5</f>
        <v>904386</v>
      </c>
      <c r="N27" s="1676">
        <f>+'III.5.6.Cotiz x sal. min. cot.'!C5</f>
        <v>0.40611316650583246</v>
      </c>
      <c r="O27" s="1675">
        <f>+N27+N28+N29</f>
        <v>0.88686223327081071</v>
      </c>
      <c r="P27" s="1079" t="s">
        <v>217</v>
      </c>
      <c r="Q27" s="1664">
        <f>+'III.5.9.Trasp. recibidos'!M22</f>
        <v>77954</v>
      </c>
    </row>
    <row r="28" spans="1:20">
      <c r="A28" s="2157"/>
      <c r="B28" s="2157"/>
      <c r="C28" s="2157"/>
      <c r="D28" s="2157"/>
      <c r="E28" s="2157"/>
      <c r="F28" s="2157"/>
      <c r="G28" s="2157"/>
      <c r="H28" s="2157"/>
      <c r="I28" s="2157"/>
      <c r="L28" s="1673" t="str">
        <f>+'III.5.6.Cotiz x sal. min. cot.'!A6</f>
        <v xml:space="preserve">1-2 salarios </v>
      </c>
      <c r="M28" s="1671">
        <f>+'III.5.6.Cotiz x sal. min. cot.'!B6</f>
        <v>837993</v>
      </c>
      <c r="N28" s="1676">
        <f>+'III.5.6.Cotiz x sal. min. cot.'!C6</f>
        <v>0.37629949019525077</v>
      </c>
      <c r="O28" s="1675"/>
      <c r="P28" s="1079" t="s">
        <v>612</v>
      </c>
      <c r="Q28" s="1664">
        <f>+'III.5.10.Trasp. cedidos'!I21</f>
        <v>752595</v>
      </c>
    </row>
    <row r="29" spans="1:20">
      <c r="A29" s="2157"/>
      <c r="B29" s="2157"/>
      <c r="C29" s="2157"/>
      <c r="D29" s="2157"/>
      <c r="E29" s="2157"/>
      <c r="F29" s="2157"/>
      <c r="G29" s="2157"/>
      <c r="H29" s="2157"/>
      <c r="I29" s="2157"/>
      <c r="L29" s="1673" t="str">
        <f>+'III.5.6.Cotiz x sal. min. cot.'!A7</f>
        <v xml:space="preserve">2-3 salarios  </v>
      </c>
      <c r="M29" s="1671">
        <f>+'III.5.6.Cotiz x sal. min. cot.'!B7</f>
        <v>232602</v>
      </c>
      <c r="N29" s="1676">
        <f>+'III.5.6.Cotiz x sal. min. cot.'!C7</f>
        <v>0.10444957656972757</v>
      </c>
      <c r="O29" s="1675">
        <f>+N30+N31+N32</f>
        <v>9.9230285985510994E-2</v>
      </c>
    </row>
    <row r="30" spans="1:20">
      <c r="A30" s="2157"/>
      <c r="B30" s="2157"/>
      <c r="C30" s="2157"/>
      <c r="D30" s="2157"/>
      <c r="E30" s="2157"/>
      <c r="F30" s="2157"/>
      <c r="G30" s="2157"/>
      <c r="H30" s="2157"/>
      <c r="I30" s="2157"/>
      <c r="L30" s="1673" t="str">
        <f>+'III.5.6.Cotiz x sal. min. cot.'!A8</f>
        <v xml:space="preserve">3-4 salarios </v>
      </c>
      <c r="M30" s="1671">
        <f>+'III.5.6.Cotiz x sal. min. cot.'!B8</f>
        <v>135616</v>
      </c>
      <c r="N30" s="1676">
        <f>+'III.5.6.Cotiz x sal. min. cot.'!C8</f>
        <v>6.0898159844198135E-2</v>
      </c>
      <c r="O30" s="1675"/>
      <c r="P30" s="1076"/>
      <c r="Q30" s="1076"/>
      <c r="R30" s="1076"/>
      <c r="S30" s="1076"/>
    </row>
    <row r="31" spans="1:20">
      <c r="A31" s="2157"/>
      <c r="B31" s="2157"/>
      <c r="C31" s="2157"/>
      <c r="D31" s="2157"/>
      <c r="E31" s="2157"/>
      <c r="F31" s="2157"/>
      <c r="G31" s="2157"/>
      <c r="H31" s="2157"/>
      <c r="I31" s="2157"/>
      <c r="L31" s="1673" t="str">
        <f>+'III.5.6.Cotiz x sal. min. cot.'!A9</f>
        <v xml:space="preserve">4-6 salarios  </v>
      </c>
      <c r="M31" s="1671">
        <f>+'III.5.6.Cotiz x sal. min. cot.'!B9</f>
        <v>63522</v>
      </c>
      <c r="N31" s="1676">
        <f>+'III.5.6.Cotiz x sal. min. cot.'!C9</f>
        <v>2.8524458099510042E-2</v>
      </c>
      <c r="O31" s="1675"/>
      <c r="P31" s="1076"/>
      <c r="Q31" s="1076"/>
      <c r="R31" s="1076"/>
      <c r="S31" s="1076"/>
    </row>
    <row r="32" spans="1:20">
      <c r="A32" s="2157"/>
      <c r="B32" s="2157"/>
      <c r="C32" s="2157"/>
      <c r="D32" s="2157"/>
      <c r="E32" s="2157"/>
      <c r="F32" s="2157"/>
      <c r="G32" s="2157"/>
      <c r="H32" s="2157"/>
      <c r="I32" s="2157"/>
      <c r="L32" s="1673" t="str">
        <f>+'III.5.6.Cotiz x sal. min. cot.'!A10</f>
        <v xml:space="preserve">6-8 salarios </v>
      </c>
      <c r="M32" s="1671">
        <f>+'III.5.6.Cotiz x sal. min. cot.'!B10</f>
        <v>21841</v>
      </c>
      <c r="N32" s="1676">
        <f>+'III.5.6.Cotiz x sal. min. cot.'!C10</f>
        <v>9.8076680418028219E-3</v>
      </c>
      <c r="O32" s="1675">
        <f>+N33+N34+N35</f>
        <v>1.3907480743678185E-2</v>
      </c>
      <c r="P32" s="1076"/>
      <c r="Q32" s="1076"/>
      <c r="R32" s="1076"/>
      <c r="S32" s="1076"/>
    </row>
    <row r="33" spans="1:19">
      <c r="A33" s="2157"/>
      <c r="B33" s="2157"/>
      <c r="C33" s="2157"/>
      <c r="D33" s="2157"/>
      <c r="E33" s="2157"/>
      <c r="F33" s="2157"/>
      <c r="G33" s="2157"/>
      <c r="H33" s="2157"/>
      <c r="I33" s="2157"/>
      <c r="L33" s="1673" t="str">
        <f>+'III.5.6.Cotiz x sal. min. cot.'!A11</f>
        <v xml:space="preserve">8-10 salarios </v>
      </c>
      <c r="M33" s="1671">
        <f>+'III.5.6.Cotiz x sal. min. cot.'!B11</f>
        <v>11990</v>
      </c>
      <c r="N33" s="1676">
        <f>+'III.5.6.Cotiz x sal. min. cot.'!C11</f>
        <v>5.3840913795712578E-3</v>
      </c>
      <c r="O33" s="1675"/>
      <c r="P33" s="1076"/>
      <c r="Q33" s="1076"/>
      <c r="R33" s="1076"/>
      <c r="S33" s="1076"/>
    </row>
    <row r="34" spans="1:19">
      <c r="A34" s="2157"/>
      <c r="B34" s="2157"/>
      <c r="C34" s="2157"/>
      <c r="D34" s="2157"/>
      <c r="E34" s="2157"/>
      <c r="F34" s="2157"/>
      <c r="G34" s="2157"/>
      <c r="H34" s="2157"/>
      <c r="I34" s="2157"/>
      <c r="L34" s="1673" t="str">
        <f>+'III.5.6.Cotiz x sal. min. cot.'!A12</f>
        <v xml:space="preserve">10-15 salarios </v>
      </c>
      <c r="M34" s="1671">
        <f>+'III.5.6.Cotiz x sal. min. cot.'!B12</f>
        <v>10813</v>
      </c>
      <c r="N34" s="1676">
        <f>+'III.5.6.Cotiz x sal. min. cot.'!C12</f>
        <v>4.855561308365639E-3</v>
      </c>
      <c r="O34" s="1675"/>
      <c r="R34" s="1076"/>
      <c r="S34" s="1076"/>
    </row>
    <row r="35" spans="1:19">
      <c r="A35" s="2157"/>
      <c r="B35" s="2157"/>
      <c r="C35" s="2157"/>
      <c r="D35" s="2157"/>
      <c r="E35" s="2157"/>
      <c r="F35" s="2157"/>
      <c r="G35" s="2157"/>
      <c r="H35" s="2157"/>
      <c r="I35" s="2157"/>
      <c r="L35" s="1673" t="str">
        <f>+'III.5.6.Cotiz x sal. min. cot.'!A13</f>
        <v xml:space="preserve">15 ó más salarios </v>
      </c>
      <c r="M35" s="1671">
        <f>+'III.5.6.Cotiz x sal. min. cot.'!B13</f>
        <v>8168</v>
      </c>
      <c r="N35" s="1676">
        <f>+'III.5.6.Cotiz x sal. min. cot.'!C13</f>
        <v>3.6678280557412872E-3</v>
      </c>
      <c r="O35" s="1662"/>
      <c r="P35" s="1662"/>
      <c r="R35" s="1076"/>
      <c r="S35" s="1076"/>
    </row>
    <row r="36" spans="1:19">
      <c r="A36" s="2157"/>
      <c r="B36" s="2157"/>
      <c r="C36" s="2157"/>
      <c r="D36" s="2157"/>
      <c r="E36" s="2157"/>
      <c r="F36" s="2157"/>
      <c r="G36" s="2157"/>
      <c r="H36" s="2157"/>
      <c r="I36" s="2157"/>
      <c r="L36" s="1673" t="str">
        <f>+'III.5.6.Cotiz x sal. min. cot.'!A14</f>
        <v>Total</v>
      </c>
      <c r="M36" s="1671">
        <f>+'III.5.6.Cotiz x sal. min. cot.'!B14</f>
        <v>2226931</v>
      </c>
      <c r="N36" s="1676">
        <f>+'III.5.6.Cotiz x sal. min. cot.'!C14</f>
        <v>0.99999999999999978</v>
      </c>
      <c r="O36" s="1662"/>
      <c r="P36" s="1662"/>
      <c r="R36" s="1076"/>
      <c r="S36" s="1076"/>
    </row>
    <row r="37" spans="1:19">
      <c r="A37" s="2157"/>
      <c r="B37" s="2157"/>
      <c r="C37" s="2157"/>
      <c r="D37" s="2157"/>
      <c r="E37" s="2157"/>
      <c r="F37" s="2157"/>
      <c r="G37" s="2157"/>
      <c r="H37" s="2157"/>
      <c r="I37" s="2157"/>
      <c r="L37" s="1673"/>
      <c r="M37" s="1674"/>
      <c r="N37" s="1676"/>
      <c r="R37" s="1076"/>
      <c r="S37" s="1076"/>
    </row>
    <row r="38" spans="1:19">
      <c r="A38" s="2157"/>
      <c r="B38" s="2157"/>
      <c r="C38" s="2157"/>
      <c r="D38" s="2157"/>
      <c r="E38" s="2157"/>
      <c r="F38" s="2157"/>
      <c r="G38" s="2157"/>
      <c r="H38" s="2157"/>
      <c r="I38" s="2157"/>
      <c r="L38" s="1662"/>
      <c r="M38" s="1662"/>
      <c r="N38" s="1662"/>
      <c r="R38" s="1076"/>
      <c r="S38" s="1076"/>
    </row>
    <row r="39" spans="1:19" ht="19.5" customHeight="1">
      <c r="A39" s="2157"/>
      <c r="B39" s="2157"/>
      <c r="C39" s="2157"/>
      <c r="D39" s="2157"/>
      <c r="E39" s="2157"/>
      <c r="F39" s="2157"/>
      <c r="G39" s="2157"/>
      <c r="H39" s="2157"/>
      <c r="I39" s="2157"/>
      <c r="L39" s="1662"/>
      <c r="M39" s="1662"/>
      <c r="N39" s="1662"/>
      <c r="R39" s="1076"/>
      <c r="S39" s="1076"/>
    </row>
    <row r="40" spans="1:19" ht="13.5" customHeight="1">
      <c r="A40" s="2157"/>
      <c r="B40" s="2157"/>
      <c r="C40" s="2157"/>
      <c r="D40" s="2157"/>
      <c r="E40" s="2157"/>
      <c r="F40" s="2157"/>
      <c r="G40" s="2157"/>
      <c r="H40" s="2157"/>
      <c r="I40" s="2157"/>
      <c r="L40" s="1662"/>
      <c r="M40" s="1662"/>
      <c r="N40" s="1662"/>
      <c r="R40" s="1076"/>
      <c r="S40" s="1076"/>
    </row>
    <row r="41" spans="1:19">
      <c r="A41" s="2157"/>
      <c r="B41" s="2157"/>
      <c r="C41" s="2157"/>
      <c r="D41" s="2157"/>
      <c r="E41" s="2157"/>
      <c r="F41" s="2157"/>
      <c r="G41" s="2157"/>
      <c r="H41" s="2157"/>
      <c r="I41" s="2157"/>
      <c r="L41" s="1662"/>
      <c r="M41" s="1662"/>
      <c r="N41" s="1662"/>
      <c r="R41" s="1076"/>
      <c r="S41" s="1076"/>
    </row>
    <row r="42" spans="1:19" ht="35.25" customHeight="1">
      <c r="A42" s="2157"/>
      <c r="B42" s="2157"/>
      <c r="C42" s="2157"/>
      <c r="D42" s="2157"/>
      <c r="E42" s="2157"/>
      <c r="F42" s="2157"/>
      <c r="G42" s="2157"/>
      <c r="H42" s="2157"/>
      <c r="I42" s="2157"/>
      <c r="K42" s="1663"/>
      <c r="L42" s="1677"/>
      <c r="M42" s="1677"/>
      <c r="N42" s="1677"/>
      <c r="O42" s="1678"/>
      <c r="R42" s="1076"/>
      <c r="S42" s="1076"/>
    </row>
    <row r="43" spans="1:19" ht="409.5" customHeight="1">
      <c r="K43" s="1663"/>
      <c r="L43" s="2158" t="s">
        <v>613</v>
      </c>
      <c r="M43" s="2158"/>
      <c r="N43" s="2158"/>
      <c r="O43" s="2158"/>
      <c r="S43" s="1076"/>
    </row>
    <row r="44" spans="1:19">
      <c r="K44" s="1663"/>
      <c r="L44" s="1678"/>
      <c r="M44" s="1678"/>
      <c r="N44" s="1678"/>
      <c r="O44" s="1678"/>
      <c r="S44" s="1076"/>
    </row>
    <row r="45" spans="1:19">
      <c r="G45" t="s">
        <v>1</v>
      </c>
      <c r="K45" s="1663"/>
      <c r="L45" s="1678"/>
      <c r="M45" s="1678"/>
      <c r="N45" s="1678"/>
      <c r="O45" s="1678"/>
    </row>
    <row r="46" spans="1:19">
      <c r="L46" s="1678"/>
      <c r="M46" s="1678"/>
      <c r="N46" s="1678"/>
      <c r="O46" s="1678"/>
    </row>
    <row r="47" spans="1:19">
      <c r="L47" s="1678"/>
      <c r="M47" s="1678"/>
      <c r="N47" s="1678"/>
      <c r="O47" s="1678"/>
    </row>
    <row r="48" spans="1:19">
      <c r="L48" s="1678"/>
      <c r="M48" s="1678"/>
      <c r="N48" s="1678"/>
      <c r="O48" s="1678"/>
    </row>
    <row r="49" spans="7:15">
      <c r="L49" s="1678"/>
      <c r="M49" s="1678"/>
      <c r="N49" s="1678"/>
      <c r="O49" s="1678"/>
    </row>
    <row r="50" spans="7:15">
      <c r="L50" s="1678"/>
      <c r="M50" s="1678"/>
      <c r="N50" s="1678"/>
      <c r="O50" s="1678"/>
    </row>
    <row r="51" spans="7:15">
      <c r="L51" s="1678"/>
      <c r="M51" s="1678"/>
      <c r="N51" s="1678"/>
      <c r="O51" s="1678"/>
    </row>
    <row r="52" spans="7:15">
      <c r="L52" s="1678"/>
      <c r="M52" s="1678"/>
      <c r="N52" s="1678"/>
      <c r="O52" s="1678"/>
    </row>
    <row r="53" spans="7:15">
      <c r="L53" s="1678"/>
      <c r="M53" s="1678"/>
      <c r="N53" s="1678"/>
      <c r="O53" s="1678"/>
    </row>
    <row r="54" spans="7:15">
      <c r="H54" s="39"/>
      <c r="L54" s="1678"/>
      <c r="M54" s="1678"/>
      <c r="N54" s="1678"/>
      <c r="O54" s="1678"/>
    </row>
    <row r="55" spans="7:15">
      <c r="G55" s="56"/>
      <c r="L55" s="1678"/>
      <c r="M55" s="1678"/>
      <c r="N55" s="1678"/>
      <c r="O55" s="1678"/>
    </row>
    <row r="56" spans="7:15">
      <c r="L56" s="1678"/>
      <c r="M56" s="1678"/>
      <c r="N56" s="1678"/>
      <c r="O56" s="1678"/>
    </row>
    <row r="57" spans="7:15">
      <c r="G57" s="39"/>
      <c r="L57" s="1678"/>
      <c r="M57" s="1678"/>
      <c r="N57" s="1678"/>
      <c r="O57" s="1678"/>
    </row>
    <row r="58" spans="7:15">
      <c r="L58" s="1678"/>
      <c r="M58" s="1678"/>
      <c r="N58" s="1678"/>
      <c r="O58" s="1678"/>
    </row>
    <row r="59" spans="7:15">
      <c r="L59" s="1678"/>
      <c r="M59" s="1678"/>
      <c r="N59" s="1678"/>
      <c r="O59" s="1678"/>
    </row>
    <row r="60" spans="7:15">
      <c r="L60" s="1678"/>
      <c r="M60" s="1678"/>
      <c r="N60" s="1678"/>
      <c r="O60" s="1678"/>
    </row>
    <row r="61" spans="7:15">
      <c r="L61" s="1678"/>
      <c r="M61" s="1678"/>
      <c r="N61" s="1678"/>
      <c r="O61" s="1678"/>
    </row>
    <row r="62" spans="7:15">
      <c r="L62" s="1678"/>
      <c r="M62" s="1678"/>
      <c r="N62" s="1678"/>
      <c r="O62" s="1678"/>
    </row>
    <row r="63" spans="7:15">
      <c r="L63" s="1678"/>
      <c r="M63" s="1678"/>
      <c r="N63" s="1678"/>
      <c r="O63" s="1678"/>
    </row>
    <row r="64" spans="7:15">
      <c r="L64" s="1678"/>
      <c r="M64" s="1678"/>
      <c r="N64" s="1678"/>
      <c r="O64" s="1678"/>
    </row>
    <row r="65" spans="12:15">
      <c r="L65" s="1678"/>
      <c r="M65" s="1678"/>
      <c r="N65" s="1678"/>
      <c r="O65" s="1678"/>
    </row>
    <row r="66" spans="12:15">
      <c r="L66" s="1678"/>
      <c r="M66" s="1678"/>
      <c r="N66" s="1678"/>
      <c r="O66" s="1678"/>
    </row>
    <row r="67" spans="12:15">
      <c r="L67" s="1678"/>
      <c r="M67" s="1678"/>
      <c r="N67" s="1678"/>
      <c r="O67" s="1678"/>
    </row>
  </sheetData>
  <mergeCells count="3">
    <mergeCell ref="L11:N11"/>
    <mergeCell ref="A6:I42"/>
    <mergeCell ref="L43:O43"/>
  </mergeCells>
  <pageMargins left="0.70866141732283472" right="0.70866141732283472" top="0.74803149606299213" bottom="0.74803149606299213" header="0.31496062992125984" footer="0.31496062992125984"/>
  <pageSetup scale="3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3">
    <tabColor rgb="FF0070C0"/>
    <pageSetUpPr fitToPage="1"/>
  </sheetPr>
  <dimension ref="A1:R40"/>
  <sheetViews>
    <sheetView showGridLines="0" view="pageBreakPreview" topLeftCell="A12" zoomScale="55" zoomScaleNormal="100" zoomScaleSheetLayoutView="55" workbookViewId="0">
      <selection activeCell="H21" sqref="H21"/>
    </sheetView>
  </sheetViews>
  <sheetFormatPr defaultColWidth="11.42578125" defaultRowHeight="18"/>
  <cols>
    <col min="1" max="1" width="30.140625" style="307" customWidth="1"/>
    <col min="2" max="2" width="29.28515625" style="307" customWidth="1"/>
    <col min="3" max="3" width="28.7109375" style="307" customWidth="1"/>
    <col min="4" max="4" width="26.140625" style="307" customWidth="1"/>
    <col min="5" max="5" width="19.140625" style="307" customWidth="1"/>
    <col min="6" max="6" width="17" style="307" customWidth="1"/>
    <col min="7" max="7" width="16.7109375" style="307" customWidth="1"/>
    <col min="8" max="8" width="23.42578125" style="307" customWidth="1"/>
    <col min="9" max="9" width="26.42578125" style="307" customWidth="1"/>
    <col min="10" max="10" width="23.42578125" style="307" customWidth="1"/>
    <col min="11" max="11" width="22.5703125" style="307" customWidth="1"/>
    <col min="12" max="12" width="21" style="307" customWidth="1"/>
    <col min="13" max="13" width="6.85546875" style="307" customWidth="1"/>
    <col min="14" max="14" width="6.7109375" style="329" customWidth="1"/>
    <col min="15" max="15" width="22" style="329" customWidth="1"/>
    <col min="16" max="16" width="19" style="329" customWidth="1"/>
    <col min="17" max="18" width="11.42578125" style="329"/>
    <col min="19" max="16384" width="11.42578125" style="307"/>
  </cols>
  <sheetData>
    <row r="1" spans="1:18" s="541" customFormat="1" ht="81.75" customHeight="1">
      <c r="A1" s="2118" t="s">
        <v>614</v>
      </c>
      <c r="B1" s="2118"/>
      <c r="C1" s="2118"/>
      <c r="D1" s="2118"/>
      <c r="E1" s="2118"/>
      <c r="F1" s="2118"/>
      <c r="G1" s="2118"/>
      <c r="H1" s="2118"/>
      <c r="I1" s="2118"/>
      <c r="J1" s="2118"/>
      <c r="K1" s="2118"/>
      <c r="L1" s="2118"/>
      <c r="M1" s="581"/>
      <c r="N1" s="567"/>
      <c r="O1" s="567"/>
      <c r="P1" s="567"/>
      <c r="Q1" s="567"/>
      <c r="R1" s="567"/>
    </row>
    <row r="2" spans="1:18" s="541" customFormat="1" ht="37.5" customHeight="1">
      <c r="A2" s="2162" t="str">
        <f>+'Resumen '!O4</f>
        <v>Período:  Diciembre 2008 - Abril 2025</v>
      </c>
      <c r="B2" s="2162"/>
      <c r="C2" s="2162"/>
      <c r="D2" s="2162"/>
      <c r="E2" s="2162"/>
      <c r="F2" s="2162"/>
      <c r="G2" s="2162"/>
      <c r="H2" s="2162"/>
      <c r="I2" s="2162"/>
      <c r="J2" s="2162"/>
      <c r="K2" s="2162"/>
      <c r="L2" s="2162"/>
      <c r="M2" s="581"/>
      <c r="N2" s="567"/>
      <c r="O2" s="567"/>
      <c r="P2" s="567"/>
      <c r="Q2" s="567"/>
      <c r="R2" s="567"/>
    </row>
    <row r="3" spans="1:18" ht="15.75" customHeight="1">
      <c r="A3" s="2159" t="s">
        <v>615</v>
      </c>
      <c r="B3" s="2159"/>
      <c r="C3" s="2159"/>
      <c r="D3" s="2159"/>
      <c r="E3" s="2159"/>
      <c r="F3" s="2159"/>
      <c r="G3" s="2159"/>
      <c r="H3" s="2159"/>
      <c r="I3" s="2159"/>
      <c r="J3" s="2159"/>
      <c r="K3" s="2159"/>
      <c r="L3" s="2159"/>
      <c r="M3" s="2159"/>
      <c r="O3" s="965">
        <f>D5-D22</f>
        <v>5.5723237034777384E-2</v>
      </c>
    </row>
    <row r="4" spans="1:18" ht="63" customHeight="1">
      <c r="A4" s="912" t="s">
        <v>562</v>
      </c>
      <c r="B4" s="913" t="s">
        <v>271</v>
      </c>
      <c r="C4" s="913" t="s">
        <v>600</v>
      </c>
      <c r="D4" s="914" t="s">
        <v>616</v>
      </c>
    </row>
    <row r="5" spans="1:18" ht="23.25">
      <c r="A5" s="915" t="s">
        <v>460</v>
      </c>
      <c r="B5" s="916">
        <v>929743</v>
      </c>
      <c r="C5" s="916">
        <v>1983720</v>
      </c>
      <c r="D5" s="1841">
        <f t="shared" ref="D5:D18" si="0">B5/C5</f>
        <v>0.46868660899723752</v>
      </c>
      <c r="O5" s="966"/>
    </row>
    <row r="6" spans="1:18" ht="23.25">
      <c r="A6" s="915" t="s">
        <v>461</v>
      </c>
      <c r="B6" s="916">
        <v>1118293</v>
      </c>
      <c r="C6" s="916">
        <v>2193890</v>
      </c>
      <c r="D6" s="1841">
        <f t="shared" si="0"/>
        <v>0.50973066106322562</v>
      </c>
      <c r="N6" s="403"/>
    </row>
    <row r="7" spans="1:18" ht="23.25">
      <c r="A7" s="915" t="s">
        <v>462</v>
      </c>
      <c r="B7" s="916">
        <v>1189601</v>
      </c>
      <c r="C7" s="916">
        <v>2374783</v>
      </c>
      <c r="D7" s="1841">
        <f t="shared" si="0"/>
        <v>0.50093040079872564</v>
      </c>
      <c r="O7" s="967" t="e">
        <f>C25-C4</f>
        <v>#VALUE!</v>
      </c>
    </row>
    <row r="8" spans="1:18" ht="23.25">
      <c r="A8" s="915" t="s">
        <v>463</v>
      </c>
      <c r="B8" s="916">
        <v>1242780</v>
      </c>
      <c r="C8" s="916">
        <v>2552974</v>
      </c>
      <c r="D8" s="1841">
        <f t="shared" si="0"/>
        <v>0.4867969669883046</v>
      </c>
    </row>
    <row r="9" spans="1:18" ht="23.25">
      <c r="A9" s="915" t="s">
        <v>464</v>
      </c>
      <c r="B9" s="916">
        <v>1291137</v>
      </c>
      <c r="C9" s="916">
        <v>2714449</v>
      </c>
      <c r="D9" s="1841">
        <f t="shared" si="0"/>
        <v>0.47565343832210516</v>
      </c>
      <c r="O9" s="403"/>
    </row>
    <row r="10" spans="1:18" ht="23.25">
      <c r="A10" s="915" t="s">
        <v>465</v>
      </c>
      <c r="B10" s="916">
        <v>1376966</v>
      </c>
      <c r="C10" s="916">
        <v>2881130</v>
      </c>
      <c r="D10" s="1841">
        <f t="shared" si="0"/>
        <v>0.47792567499557465</v>
      </c>
      <c r="N10" s="965"/>
      <c r="O10" s="968" t="s">
        <v>272</v>
      </c>
      <c r="P10" s="969" t="s">
        <v>271</v>
      </c>
    </row>
    <row r="11" spans="1:18" ht="23.25">
      <c r="A11" s="915" t="s">
        <v>466</v>
      </c>
      <c r="B11" s="916">
        <v>1508392</v>
      </c>
      <c r="C11" s="916">
        <v>3069900</v>
      </c>
      <c r="D11" s="1841">
        <f t="shared" si="0"/>
        <v>0.49134890387309033</v>
      </c>
      <c r="O11" s="970">
        <f>C6/C5-1</f>
        <v>0.10594741193313562</v>
      </c>
      <c r="P11" s="971">
        <f>B6/B5-1</f>
        <v>0.20279797750561168</v>
      </c>
    </row>
    <row r="12" spans="1:18" ht="23.25">
      <c r="A12" s="915" t="s">
        <v>467</v>
      </c>
      <c r="B12" s="916">
        <v>1617107</v>
      </c>
      <c r="C12" s="916">
        <v>3269757</v>
      </c>
      <c r="D12" s="1841">
        <f t="shared" si="0"/>
        <v>0.49456488662613152</v>
      </c>
      <c r="E12" s="326"/>
      <c r="O12" s="970">
        <f t="shared" ref="O12:O27" si="1">C7/C6-1</f>
        <v>8.245308561504916E-2</v>
      </c>
      <c r="P12" s="971">
        <f t="shared" ref="P12:P27" si="2">B7/B6-1</f>
        <v>6.3765041898679486E-2</v>
      </c>
    </row>
    <row r="13" spans="1:18" ht="23.25">
      <c r="A13" s="915" t="s">
        <v>468</v>
      </c>
      <c r="B13" s="916">
        <v>1725802</v>
      </c>
      <c r="C13" s="916">
        <v>3473894</v>
      </c>
      <c r="D13" s="1841">
        <f t="shared" si="0"/>
        <v>0.49679178466585339</v>
      </c>
      <c r="E13" s="326"/>
      <c r="N13" s="972"/>
      <c r="O13" s="970">
        <f t="shared" si="1"/>
        <v>7.503464527074688E-2</v>
      </c>
      <c r="P13" s="971">
        <f t="shared" si="2"/>
        <v>4.4703224022172083E-2</v>
      </c>
    </row>
    <row r="14" spans="1:18" ht="23.25">
      <c r="A14" s="915" t="s">
        <v>469</v>
      </c>
      <c r="B14" s="916">
        <v>1837104</v>
      </c>
      <c r="C14" s="916">
        <v>3703355</v>
      </c>
      <c r="D14" s="1841">
        <f t="shared" si="0"/>
        <v>0.49606478449946062</v>
      </c>
      <c r="E14" s="326"/>
      <c r="O14" s="970">
        <f t="shared" si="1"/>
        <v>6.3249762825630107E-2</v>
      </c>
      <c r="P14" s="971">
        <f t="shared" si="2"/>
        <v>3.8910346159416687E-2</v>
      </c>
    </row>
    <row r="15" spans="1:18" ht="23.25">
      <c r="A15" s="915" t="s">
        <v>617</v>
      </c>
      <c r="B15" s="916">
        <v>1935968</v>
      </c>
      <c r="C15" s="916">
        <v>3919943</v>
      </c>
      <c r="D15" s="1841">
        <f t="shared" si="0"/>
        <v>0.49387656912358163</v>
      </c>
      <c r="E15" s="584"/>
      <c r="O15" s="970">
        <f t="shared" si="1"/>
        <v>6.1405095472414573E-2</v>
      </c>
      <c r="P15" s="971">
        <f t="shared" si="2"/>
        <v>6.647551731535839E-2</v>
      </c>
    </row>
    <row r="16" spans="1:18" ht="23.25">
      <c r="A16" s="915" t="s">
        <v>618</v>
      </c>
      <c r="B16" s="916">
        <v>1924919</v>
      </c>
      <c r="C16" s="916">
        <v>4133143</v>
      </c>
      <c r="D16" s="1841">
        <f t="shared" si="0"/>
        <v>0.46572765568479002</v>
      </c>
      <c r="E16" s="584"/>
      <c r="F16" s="584"/>
      <c r="G16" s="584"/>
      <c r="H16" s="584"/>
      <c r="I16" s="584"/>
      <c r="J16" s="584"/>
      <c r="K16" s="584"/>
      <c r="L16" s="584"/>
      <c r="O16" s="970">
        <f t="shared" si="1"/>
        <v>6.5519431611902323E-2</v>
      </c>
      <c r="P16" s="971">
        <f t="shared" si="2"/>
        <v>9.5446074921239799E-2</v>
      </c>
    </row>
    <row r="17" spans="1:16" ht="23.25">
      <c r="A17" s="915" t="s">
        <v>537</v>
      </c>
      <c r="B17" s="916">
        <v>1747440</v>
      </c>
      <c r="C17" s="916">
        <v>4295419</v>
      </c>
      <c r="D17" s="1841">
        <f t="shared" si="0"/>
        <v>0.40681479501766882</v>
      </c>
      <c r="E17" s="584"/>
      <c r="F17" s="584"/>
      <c r="G17" s="584"/>
      <c r="H17" s="584"/>
      <c r="I17" s="584"/>
      <c r="J17" s="584"/>
      <c r="K17" s="584"/>
      <c r="L17" s="584"/>
      <c r="O17" s="970">
        <f t="shared" si="1"/>
        <v>6.5102120590247337E-2</v>
      </c>
      <c r="P17" s="971">
        <f t="shared" si="2"/>
        <v>7.2073439795490746E-2</v>
      </c>
    </row>
    <row r="18" spans="1:16" ht="23.25">
      <c r="A18" s="915" t="s">
        <v>473</v>
      </c>
      <c r="B18" s="916">
        <v>1972032</v>
      </c>
      <c r="C18" s="916">
        <v>4511974</v>
      </c>
      <c r="D18" s="1841">
        <f t="shared" si="0"/>
        <v>0.43706634834331937</v>
      </c>
      <c r="E18" s="584"/>
      <c r="F18" s="584"/>
      <c r="G18" s="584"/>
      <c r="H18" s="584"/>
      <c r="I18" s="584"/>
      <c r="J18" s="584"/>
      <c r="K18" s="584"/>
      <c r="L18" s="584"/>
      <c r="O18" s="970">
        <f t="shared" si="1"/>
        <v>6.2431856556924625E-2</v>
      </c>
      <c r="P18" s="971">
        <f t="shared" si="2"/>
        <v>6.721571299858331E-2</v>
      </c>
    </row>
    <row r="19" spans="1:16" ht="23.25">
      <c r="A19" s="915" t="s">
        <v>569</v>
      </c>
      <c r="B19" s="916">
        <v>2020997</v>
      </c>
      <c r="C19" s="916">
        <v>4788859</v>
      </c>
      <c r="D19" s="1841">
        <v>0.42202056899148627</v>
      </c>
      <c r="E19" s="584"/>
      <c r="F19" s="326"/>
      <c r="G19" s="326"/>
      <c r="H19" s="326"/>
      <c r="I19" s="326"/>
      <c r="J19" s="326"/>
      <c r="K19" s="326"/>
      <c r="L19" s="584"/>
      <c r="O19" s="970">
        <f t="shared" si="1"/>
        <v>6.6052965346668602E-2</v>
      </c>
      <c r="P19" s="971">
        <f t="shared" si="2"/>
        <v>6.4492914019105285E-2</v>
      </c>
    </row>
    <row r="20" spans="1:16" ht="23.25">
      <c r="A20" s="915" t="s">
        <v>570</v>
      </c>
      <c r="B20" s="917">
        <v>2050266</v>
      </c>
      <c r="C20" s="917">
        <v>5038132</v>
      </c>
      <c r="D20" s="1842">
        <f>B20/C20</f>
        <v>0.40694963927106315</v>
      </c>
      <c r="E20" s="584"/>
      <c r="F20" s="584"/>
      <c r="G20" s="584"/>
      <c r="H20" s="584"/>
      <c r="I20" s="584"/>
      <c r="J20" s="584"/>
      <c r="K20" s="584"/>
      <c r="L20" s="584"/>
      <c r="O20" s="970">
        <f t="shared" si="1"/>
        <v>5.8484266293671539E-2</v>
      </c>
      <c r="P20" s="971">
        <f t="shared" si="2"/>
        <v>5.3815135125719671E-2</v>
      </c>
    </row>
    <row r="21" spans="1:16" ht="23.25">
      <c r="A21" s="915" t="s">
        <v>476</v>
      </c>
      <c r="B21" s="917">
        <v>2219499</v>
      </c>
      <c r="C21" s="917">
        <v>5310546</v>
      </c>
      <c r="D21" s="1842">
        <f>B21/C21</f>
        <v>0.41794177095914431</v>
      </c>
      <c r="E21" s="584"/>
      <c r="F21" s="584"/>
      <c r="G21" s="584"/>
      <c r="H21" s="584"/>
      <c r="I21" s="584"/>
      <c r="J21" s="584"/>
      <c r="K21" s="584"/>
      <c r="L21" s="584"/>
      <c r="O21" s="970">
        <f t="shared" si="1"/>
        <v>5.4388545955897927E-2</v>
      </c>
      <c r="P21" s="971">
        <f t="shared" si="2"/>
        <v>-5.7072224334286936E-3</v>
      </c>
    </row>
    <row r="22" spans="1:16" ht="24" customHeight="1">
      <c r="A22" s="1703" t="str">
        <f>+'Resumen '!O6</f>
        <v>Abr.2025</v>
      </c>
      <c r="B22" s="917">
        <f>+'Resumen '!D45</f>
        <v>2226931</v>
      </c>
      <c r="C22" s="917">
        <f>+'Resumen '!B45</f>
        <v>5392563</v>
      </c>
      <c r="D22" s="1842">
        <f>B22/C22</f>
        <v>0.41296337196246014</v>
      </c>
      <c r="E22" s="584"/>
      <c r="F22" s="584"/>
      <c r="G22" s="584"/>
      <c r="H22" s="584"/>
      <c r="I22" s="584"/>
      <c r="J22" s="584"/>
      <c r="K22" s="584"/>
      <c r="L22" s="584"/>
      <c r="O22" s="970">
        <f t="shared" si="1"/>
        <v>3.9262130538430418E-2</v>
      </c>
      <c r="P22" s="971">
        <f t="shared" si="2"/>
        <v>-9.2200762733392949E-2</v>
      </c>
    </row>
    <row r="23" spans="1:16" ht="20.25">
      <c r="A23" s="2160" t="s">
        <v>619</v>
      </c>
      <c r="B23" s="2161"/>
      <c r="C23" s="2161"/>
      <c r="D23" s="2161"/>
      <c r="E23" s="584"/>
      <c r="F23" s="584"/>
      <c r="G23" s="584"/>
      <c r="H23" s="584"/>
      <c r="I23" s="584"/>
      <c r="J23" s="584"/>
      <c r="K23" s="584"/>
      <c r="L23" s="584"/>
      <c r="O23" s="970">
        <f t="shared" si="1"/>
        <v>5.0415337828509932E-2</v>
      </c>
      <c r="P23" s="971">
        <f t="shared" si="2"/>
        <v>0.12852630133223464</v>
      </c>
    </row>
    <row r="24" spans="1:16">
      <c r="E24" s="584"/>
      <c r="F24" s="584"/>
      <c r="G24" s="584"/>
      <c r="H24" s="584"/>
      <c r="I24" s="584"/>
      <c r="J24" s="584"/>
      <c r="K24" s="584"/>
      <c r="L24" s="584"/>
      <c r="O24" s="970">
        <f t="shared" si="1"/>
        <v>6.1366710003204705E-2</v>
      </c>
      <c r="P24" s="971">
        <f t="shared" si="2"/>
        <v>2.4829718787524824E-2</v>
      </c>
    </row>
    <row r="25" spans="1:16">
      <c r="B25" s="584"/>
      <c r="C25" s="584"/>
      <c r="D25" s="584"/>
      <c r="E25" s="584"/>
      <c r="F25" s="584"/>
      <c r="G25" s="584"/>
      <c r="H25" s="584"/>
      <c r="I25" s="584"/>
      <c r="J25" s="584"/>
      <c r="K25" s="584"/>
      <c r="L25" s="584"/>
      <c r="O25" s="970">
        <f t="shared" si="1"/>
        <v>5.2052691465754197E-2</v>
      </c>
      <c r="P25" s="971">
        <f t="shared" si="2"/>
        <v>1.4482455936352112E-2</v>
      </c>
    </row>
    <row r="26" spans="1:16">
      <c r="B26" s="584"/>
      <c r="C26" s="584"/>
      <c r="D26" s="584"/>
      <c r="E26" s="584"/>
      <c r="F26" s="584"/>
      <c r="G26" s="584"/>
      <c r="H26" s="584"/>
      <c r="I26" s="584"/>
      <c r="J26" s="584"/>
      <c r="K26" s="584"/>
      <c r="L26" s="584"/>
      <c r="O26" s="970">
        <f t="shared" si="1"/>
        <v>5.407043721760374E-2</v>
      </c>
      <c r="P26" s="971">
        <f t="shared" si="2"/>
        <v>8.2541972602579339E-2</v>
      </c>
    </row>
    <row r="27" spans="1:16">
      <c r="B27" s="584"/>
      <c r="C27" s="584"/>
      <c r="D27" s="584"/>
      <c r="E27" s="584"/>
      <c r="F27" s="584"/>
      <c r="G27" s="584"/>
      <c r="H27" s="584"/>
      <c r="I27" s="584"/>
      <c r="J27" s="584"/>
      <c r="K27" s="584"/>
      <c r="L27" s="584"/>
      <c r="O27" s="970">
        <f t="shared" si="1"/>
        <v>1.5444174666785715E-2</v>
      </c>
      <c r="P27" s="971">
        <f t="shared" si="2"/>
        <v>3.3485034235203326E-3</v>
      </c>
    </row>
    <row r="28" spans="1:16">
      <c r="B28" s="584"/>
      <c r="C28" s="584"/>
      <c r="D28" s="584"/>
      <c r="E28" s="584"/>
      <c r="F28" s="584"/>
      <c r="G28" s="584"/>
      <c r="H28" s="584"/>
      <c r="I28" s="584"/>
      <c r="J28" s="584"/>
      <c r="K28" s="584"/>
      <c r="L28" s="584"/>
      <c r="O28" s="970"/>
      <c r="P28" s="971"/>
    </row>
    <row r="29" spans="1:16">
      <c r="B29" s="584"/>
      <c r="C29" s="584"/>
      <c r="D29" s="584"/>
      <c r="E29" s="584"/>
      <c r="F29" s="584"/>
      <c r="G29" s="584"/>
      <c r="H29" s="584"/>
      <c r="I29" s="584"/>
      <c r="J29" s="584"/>
      <c r="K29" s="584"/>
      <c r="L29" s="584"/>
      <c r="O29" s="973">
        <f>AVERAGE(O11:O27)</f>
        <v>6.0745921717210438E-2</v>
      </c>
      <c r="P29" s="973">
        <f>AVERAGE(P11:P27)</f>
        <v>5.4442138275103927E-2</v>
      </c>
    </row>
    <row r="30" spans="1:16">
      <c r="B30" s="584"/>
      <c r="C30" s="584"/>
      <c r="D30" s="584"/>
      <c r="E30" s="584"/>
      <c r="F30" s="584"/>
      <c r="G30" s="584"/>
      <c r="H30" s="584"/>
      <c r="I30" s="584"/>
      <c r="J30" s="584"/>
      <c r="K30" s="584"/>
      <c r="L30" s="584"/>
      <c r="O30" s="403"/>
    </row>
    <row r="31" spans="1:16">
      <c r="B31" s="584"/>
      <c r="C31" s="584"/>
      <c r="D31" s="584"/>
      <c r="E31" s="584"/>
      <c r="F31" s="584"/>
      <c r="G31" s="584"/>
      <c r="H31" s="584"/>
      <c r="I31" s="584"/>
      <c r="J31" s="584"/>
      <c r="K31" s="584"/>
      <c r="L31" s="584"/>
      <c r="O31" s="403"/>
    </row>
    <row r="32" spans="1:16">
      <c r="B32" s="584"/>
      <c r="C32" s="584"/>
      <c r="D32" s="584"/>
      <c r="E32" s="584"/>
      <c r="F32" s="584"/>
      <c r="G32" s="584"/>
      <c r="H32" s="584"/>
      <c r="I32" s="584"/>
      <c r="J32" s="584"/>
      <c r="K32" s="584"/>
      <c r="L32" s="584"/>
    </row>
    <row r="33" spans="2:15">
      <c r="B33" s="584"/>
      <c r="C33" s="584"/>
      <c r="D33" s="584"/>
      <c r="E33" s="584"/>
      <c r="F33" s="584"/>
      <c r="G33" s="584"/>
      <c r="H33" s="584"/>
      <c r="I33" s="584"/>
      <c r="J33" s="584"/>
      <c r="K33" s="584"/>
      <c r="L33" s="584"/>
      <c r="O33" s="965">
        <f>+B22/C22</f>
        <v>0.41296337196246014</v>
      </c>
    </row>
    <row r="34" spans="2:15">
      <c r="B34" s="584"/>
      <c r="C34" s="584"/>
      <c r="D34" s="584"/>
      <c r="E34" s="584"/>
      <c r="F34" s="584"/>
      <c r="G34" s="584"/>
      <c r="H34" s="584"/>
      <c r="I34" s="584"/>
      <c r="J34" s="584"/>
      <c r="K34" s="584"/>
      <c r="L34" s="584"/>
      <c r="O34" s="965">
        <v>0.58899999999999997</v>
      </c>
    </row>
    <row r="35" spans="2:15">
      <c r="B35" s="584"/>
      <c r="C35" s="584"/>
      <c r="D35" s="584"/>
      <c r="E35" s="584"/>
      <c r="F35" s="584"/>
      <c r="G35" s="584"/>
      <c r="H35" s="584"/>
      <c r="I35" s="584"/>
      <c r="J35" s="584"/>
      <c r="K35" s="584"/>
      <c r="L35" s="584"/>
      <c r="O35" s="965">
        <f>+O34-O33</f>
        <v>0.17603662803753983</v>
      </c>
    </row>
    <row r="36" spans="2:15">
      <c r="B36" s="584"/>
      <c r="C36" s="584"/>
      <c r="D36" s="584"/>
      <c r="E36" s="584"/>
    </row>
    <row r="37" spans="2:15">
      <c r="B37" s="584"/>
      <c r="C37" s="584"/>
      <c r="D37" s="584"/>
    </row>
    <row r="38" spans="2:15">
      <c r="B38" s="584"/>
      <c r="C38" s="584"/>
      <c r="D38" s="584"/>
    </row>
    <row r="39" spans="2:15">
      <c r="B39" s="584"/>
      <c r="C39" s="584"/>
      <c r="D39" s="584"/>
    </row>
    <row r="40" spans="2:15">
      <c r="B40" s="584"/>
      <c r="C40" s="584"/>
      <c r="D40" s="584"/>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5">
    <tabColor rgb="FF0070C0"/>
    <pageSetUpPr fitToPage="1"/>
  </sheetPr>
  <dimension ref="A1:R45"/>
  <sheetViews>
    <sheetView showGridLines="0" view="pageBreakPreview" topLeftCell="A9" zoomScale="55" zoomScaleNormal="85" zoomScaleSheetLayoutView="55" workbookViewId="0">
      <selection activeCell="G19" sqref="G19"/>
    </sheetView>
  </sheetViews>
  <sheetFormatPr defaultColWidth="11.42578125" defaultRowHeight="14.25"/>
  <cols>
    <col min="1" max="1" width="32.7109375" style="307" customWidth="1"/>
    <col min="2" max="2" width="33.140625" style="307" customWidth="1"/>
    <col min="3" max="3" width="33.28515625" style="307" customWidth="1"/>
    <col min="4" max="4" width="36.42578125" style="307" customWidth="1"/>
    <col min="5" max="8" width="15" style="307" customWidth="1"/>
    <col min="9" max="9" width="27.42578125" style="307" customWidth="1"/>
    <col min="10" max="10" width="22.28515625" style="307" customWidth="1"/>
    <col min="11" max="14" width="15" style="307" customWidth="1"/>
    <col min="15" max="16" width="11.42578125" style="307"/>
    <col min="17" max="17" width="50.140625" style="307" customWidth="1"/>
    <col min="18" max="18" width="24.5703125" style="961" bestFit="1" customWidth="1"/>
    <col min="19" max="16384" width="11.42578125" style="307"/>
  </cols>
  <sheetData>
    <row r="1" spans="1:18" s="541" customFormat="1" ht="62.25" customHeight="1">
      <c r="A1" s="2163" t="s">
        <v>620</v>
      </c>
      <c r="B1" s="2163"/>
      <c r="C1" s="2163"/>
      <c r="D1" s="2163"/>
      <c r="E1" s="2163"/>
      <c r="F1" s="2163"/>
      <c r="G1" s="2163"/>
      <c r="H1" s="2163"/>
      <c r="I1" s="2163"/>
      <c r="J1" s="2163"/>
      <c r="K1" s="2163"/>
      <c r="L1" s="2163"/>
      <c r="M1" s="2163"/>
      <c r="N1" s="2163"/>
      <c r="R1" s="1843"/>
    </row>
    <row r="2" spans="1:18" s="541" customFormat="1" ht="39.75" customHeight="1">
      <c r="A2" s="2118" t="str">
        <f>+'Resumen '!O4</f>
        <v>Período:  Diciembre 2008 - Abril 2025</v>
      </c>
      <c r="B2" s="2118"/>
      <c r="C2" s="2118"/>
      <c r="D2" s="2118"/>
      <c r="E2" s="2118"/>
      <c r="F2" s="2118"/>
      <c r="G2" s="2118"/>
      <c r="H2" s="2118"/>
      <c r="I2" s="2118"/>
      <c r="J2" s="2118"/>
      <c r="K2" s="2118"/>
      <c r="L2" s="2118"/>
      <c r="M2" s="2118"/>
      <c r="N2" s="2118"/>
      <c r="R2" s="1843"/>
    </row>
    <row r="3" spans="1:18" ht="12" customHeight="1">
      <c r="A3" s="472"/>
      <c r="B3" s="472"/>
      <c r="C3" s="472"/>
      <c r="D3" s="472"/>
      <c r="E3" s="472"/>
      <c r="F3" s="472"/>
      <c r="G3" s="472"/>
      <c r="H3" s="472"/>
      <c r="I3" s="472"/>
      <c r="J3" s="472"/>
      <c r="K3" s="472"/>
      <c r="L3" s="472"/>
      <c r="M3" s="472"/>
      <c r="N3" s="472"/>
    </row>
    <row r="4" spans="1:18" ht="67.5" customHeight="1">
      <c r="A4" s="769" t="s">
        <v>371</v>
      </c>
      <c r="B4" s="770" t="s">
        <v>621</v>
      </c>
      <c r="C4" s="770" t="s">
        <v>622</v>
      </c>
      <c r="D4" s="771" t="s">
        <v>623</v>
      </c>
      <c r="G4" s="473"/>
      <c r="H4" s="474"/>
      <c r="I4" s="474"/>
      <c r="J4" s="474"/>
      <c r="K4" s="474"/>
      <c r="Q4" s="334" t="s">
        <v>624</v>
      </c>
      <c r="R4" s="1844"/>
    </row>
    <row r="5" spans="1:18" ht="26.25">
      <c r="A5" s="772" t="s">
        <v>460</v>
      </c>
      <c r="B5" s="773">
        <v>929743</v>
      </c>
      <c r="C5" s="773">
        <v>1566047</v>
      </c>
      <c r="D5" s="1770">
        <f t="shared" ref="D5:D21" si="0">B5/C5</f>
        <v>0.59368780119626041</v>
      </c>
      <c r="G5" s="475"/>
      <c r="H5" s="476"/>
      <c r="I5" s="477"/>
      <c r="J5" s="478"/>
      <c r="K5" s="479"/>
      <c r="Q5" s="334"/>
      <c r="R5" s="1844" t="s">
        <v>625</v>
      </c>
    </row>
    <row r="6" spans="1:18" ht="26.25">
      <c r="A6" s="772" t="s">
        <v>461</v>
      </c>
      <c r="B6" s="773">
        <v>1118293</v>
      </c>
      <c r="C6" s="773">
        <v>1560994</v>
      </c>
      <c r="D6" s="1770">
        <f t="shared" si="0"/>
        <v>0.71639801306090867</v>
      </c>
      <c r="G6" s="475"/>
      <c r="H6" s="476"/>
      <c r="I6" s="477"/>
      <c r="J6" s="478"/>
      <c r="K6" s="479"/>
      <c r="Q6" s="334" t="s">
        <v>626</v>
      </c>
      <c r="R6" s="1844">
        <v>10826490</v>
      </c>
    </row>
    <row r="7" spans="1:18" ht="26.25">
      <c r="A7" s="772" t="s">
        <v>462</v>
      </c>
      <c r="B7" s="773">
        <v>1189601</v>
      </c>
      <c r="C7" s="773">
        <v>1631129</v>
      </c>
      <c r="D7" s="1770">
        <f t="shared" si="0"/>
        <v>0.72931141559006063</v>
      </c>
      <c r="G7" s="475"/>
      <c r="H7" s="476"/>
      <c r="I7" s="477"/>
      <c r="J7" s="478"/>
      <c r="K7" s="479"/>
      <c r="Q7" s="334" t="s">
        <v>627</v>
      </c>
      <c r="R7" s="1844">
        <v>8111314.7263602698</v>
      </c>
    </row>
    <row r="8" spans="1:18" ht="26.25">
      <c r="A8" s="772" t="s">
        <v>463</v>
      </c>
      <c r="B8" s="773">
        <v>1242780</v>
      </c>
      <c r="C8" s="773">
        <v>1686216</v>
      </c>
      <c r="D8" s="1770">
        <f t="shared" si="0"/>
        <v>0.73702301484507327</v>
      </c>
      <c r="G8" s="475"/>
      <c r="H8" s="476"/>
      <c r="I8" s="477"/>
      <c r="J8" s="478"/>
      <c r="K8" s="479"/>
      <c r="Q8" s="334" t="s">
        <v>628</v>
      </c>
      <c r="R8" s="1844">
        <v>5306102.4540100005</v>
      </c>
    </row>
    <row r="9" spans="1:18" ht="26.25">
      <c r="A9" s="772" t="s">
        <v>464</v>
      </c>
      <c r="B9" s="773">
        <v>1291137</v>
      </c>
      <c r="C9" s="773">
        <v>1716228</v>
      </c>
      <c r="D9" s="1770">
        <f t="shared" si="0"/>
        <v>0.75231088177095351</v>
      </c>
      <c r="E9" s="4"/>
      <c r="G9" s="475"/>
      <c r="H9" s="476"/>
      <c r="I9" s="476"/>
      <c r="J9" s="476"/>
      <c r="K9" s="476"/>
      <c r="L9" s="476"/>
      <c r="Q9" s="334" t="s">
        <v>629</v>
      </c>
      <c r="R9" s="1844">
        <v>5050930.2527150102</v>
      </c>
    </row>
    <row r="10" spans="1:18" ht="26.25">
      <c r="A10" s="772" t="s">
        <v>465</v>
      </c>
      <c r="B10" s="773">
        <v>1376966</v>
      </c>
      <c r="C10" s="773">
        <v>1769801</v>
      </c>
      <c r="D10" s="1770">
        <f t="shared" si="0"/>
        <v>0.77803436657567715</v>
      </c>
      <c r="E10" s="5"/>
      <c r="G10" s="475"/>
      <c r="H10" s="476"/>
      <c r="I10" s="476"/>
      <c r="J10" s="476"/>
      <c r="K10" s="476"/>
      <c r="L10" s="476"/>
      <c r="Q10" s="334" t="s">
        <v>630</v>
      </c>
      <c r="R10" s="1844">
        <v>126891.439162542</v>
      </c>
    </row>
    <row r="11" spans="1:18" ht="26.25">
      <c r="A11" s="772" t="s">
        <v>466</v>
      </c>
      <c r="B11" s="773">
        <v>1508392</v>
      </c>
      <c r="C11" s="773">
        <v>1853784.4208326</v>
      </c>
      <c r="D11" s="1770">
        <f t="shared" si="0"/>
        <v>0.81368253128512535</v>
      </c>
      <c r="E11" s="5"/>
      <c r="G11" s="475"/>
      <c r="Q11" s="334" t="s">
        <v>631</v>
      </c>
      <c r="R11" s="1844">
        <v>2445483.8703479799</v>
      </c>
    </row>
    <row r="12" spans="1:18" ht="26.25">
      <c r="A12" s="772" t="s">
        <v>467</v>
      </c>
      <c r="B12" s="773">
        <v>1617107</v>
      </c>
      <c r="C12" s="773">
        <v>1939410.7036625701</v>
      </c>
      <c r="D12" s="1770">
        <f t="shared" si="0"/>
        <v>0.83381358932695337</v>
      </c>
      <c r="E12" s="5"/>
      <c r="F12" s="5"/>
      <c r="G12" s="5"/>
      <c r="Q12" s="334" t="s">
        <v>632</v>
      </c>
      <c r="R12" s="1844">
        <v>2362290.70491191</v>
      </c>
    </row>
    <row r="13" spans="1:18" ht="26.25">
      <c r="A13" s="772" t="s">
        <v>468</v>
      </c>
      <c r="B13" s="773">
        <v>1725802</v>
      </c>
      <c r="C13" s="773">
        <v>2012995.43601726</v>
      </c>
      <c r="D13" s="1770">
        <f t="shared" si="0"/>
        <v>0.85733030940920751</v>
      </c>
      <c r="E13" s="5"/>
      <c r="F13" s="5"/>
      <c r="G13" s="5"/>
      <c r="Q13" s="334" t="s">
        <v>633</v>
      </c>
      <c r="R13" s="1844">
        <v>243155.67745511001</v>
      </c>
    </row>
    <row r="14" spans="1:18" ht="26.25">
      <c r="A14" s="772" t="s">
        <v>469</v>
      </c>
      <c r="B14" s="773">
        <v>1837104</v>
      </c>
      <c r="C14" s="773">
        <v>2050906.62490762</v>
      </c>
      <c r="D14" s="1770">
        <f t="shared" si="0"/>
        <v>0.89575214087708632</v>
      </c>
      <c r="E14" s="105"/>
      <c r="F14" s="5"/>
      <c r="G14" s="5"/>
      <c r="Q14" s="334" t="s">
        <v>634</v>
      </c>
      <c r="R14" s="1844">
        <v>19473.279318279299</v>
      </c>
    </row>
    <row r="15" spans="1:18" ht="26.25">
      <c r="A15" s="772" t="s">
        <v>617</v>
      </c>
      <c r="B15" s="773">
        <f>+'III.5.3.Afil. SVDS'!B15</f>
        <v>1935968</v>
      </c>
      <c r="C15" s="773">
        <v>2202518.1965998798</v>
      </c>
      <c r="D15" s="1770">
        <f t="shared" si="0"/>
        <v>0.87897934418368728</v>
      </c>
      <c r="E15" s="5"/>
      <c r="F15" s="5"/>
      <c r="G15" s="5"/>
      <c r="I15" s="6"/>
      <c r="J15"/>
      <c r="Q15" s="334" t="s">
        <v>635</v>
      </c>
      <c r="R15" s="1844">
        <v>223682.39813683101</v>
      </c>
    </row>
    <row r="16" spans="1:18" ht="26.25">
      <c r="A16" s="772" t="s">
        <v>618</v>
      </c>
      <c r="B16" s="773">
        <v>1924919</v>
      </c>
      <c r="C16" s="773">
        <v>2299463.3115164302</v>
      </c>
      <c r="D16" s="1770">
        <f t="shared" si="0"/>
        <v>0.8371166395042724</v>
      </c>
      <c r="E16" s="5"/>
      <c r="F16" s="5"/>
      <c r="G16" s="5"/>
      <c r="I16" s="6"/>
      <c r="Q16" s="334" t="s">
        <v>636</v>
      </c>
      <c r="R16" s="1844">
        <v>2282371.4532481702</v>
      </c>
    </row>
    <row r="17" spans="1:18" ht="26.25">
      <c r="A17" s="772" t="s">
        <v>537</v>
      </c>
      <c r="B17" s="773">
        <v>1747440</v>
      </c>
      <c r="C17" s="773">
        <v>2045876.3979077199</v>
      </c>
      <c r="D17" s="1770">
        <f t="shared" si="0"/>
        <v>0.85412784554681531</v>
      </c>
      <c r="E17" s="5"/>
      <c r="F17" s="5"/>
      <c r="G17" s="5"/>
      <c r="I17" s="6"/>
      <c r="Q17" s="334" t="s">
        <v>637</v>
      </c>
      <c r="R17" s="1844">
        <v>2768558.7994668302</v>
      </c>
    </row>
    <row r="18" spans="1:18" ht="26.25">
      <c r="A18" s="772" t="s">
        <v>473</v>
      </c>
      <c r="B18" s="773">
        <v>1972032</v>
      </c>
      <c r="C18" s="774">
        <v>2170910.4636014798</v>
      </c>
      <c r="D18" s="1770">
        <f t="shared" si="0"/>
        <v>0.90838937536302355</v>
      </c>
      <c r="E18" s="5"/>
      <c r="F18" s="5"/>
      <c r="G18" s="5"/>
      <c r="I18" s="6"/>
      <c r="Q18" s="334" t="s">
        <v>638</v>
      </c>
      <c r="R18" s="1844">
        <v>255172.20129499299</v>
      </c>
    </row>
    <row r="19" spans="1:18" ht="26.25">
      <c r="A19" s="772" t="s">
        <v>569</v>
      </c>
      <c r="B19" s="773">
        <v>2020997</v>
      </c>
      <c r="C19" s="774">
        <v>2253696.5098291901</v>
      </c>
      <c r="D19" s="1770">
        <f t="shared" si="0"/>
        <v>0.89674762825682031</v>
      </c>
      <c r="E19" s="5"/>
      <c r="F19" s="5"/>
      <c r="G19" s="5"/>
      <c r="I19" s="6"/>
      <c r="Q19" s="334" t="s">
        <v>639</v>
      </c>
      <c r="R19" s="1844">
        <v>211595.05818631899</v>
      </c>
    </row>
    <row r="20" spans="1:18" ht="26.25">
      <c r="A20" s="772" t="s">
        <v>570</v>
      </c>
      <c r="B20" s="773">
        <f>+Tabla7[[#This Row],[Cotizantes]]</f>
        <v>2050266</v>
      </c>
      <c r="C20" s="774">
        <v>2308209</v>
      </c>
      <c r="D20" s="1770">
        <f t="shared" si="0"/>
        <v>0.88824972088749332</v>
      </c>
      <c r="E20" s="5"/>
      <c r="F20" s="5"/>
      <c r="G20" s="5"/>
      <c r="I20" s="6"/>
      <c r="Q20" s="334" t="s">
        <v>640</v>
      </c>
      <c r="R20" s="1844">
        <v>43577.143108674703</v>
      </c>
    </row>
    <row r="21" spans="1:18" ht="26.25">
      <c r="A21" s="772" t="s">
        <v>476</v>
      </c>
      <c r="B21" s="773">
        <v>2219499</v>
      </c>
      <c r="C21" s="774">
        <v>2445484</v>
      </c>
      <c r="D21" s="1770">
        <f t="shared" si="0"/>
        <v>0.90759088998333259</v>
      </c>
      <c r="E21" s="5"/>
      <c r="F21" s="5"/>
      <c r="G21" s="5"/>
      <c r="I21" s="6"/>
      <c r="Q21" s="334" t="s">
        <v>641</v>
      </c>
      <c r="R21" s="1844">
        <v>266132.71478219202</v>
      </c>
    </row>
    <row r="22" spans="1:18" ht="26.25">
      <c r="A22" s="772" t="str">
        <f>+Tabla7[[#This Row],[Año]]</f>
        <v>Abr.2025</v>
      </c>
      <c r="B22" s="773">
        <f>+Tabla7[[#This Row],[Cotizantes]]</f>
        <v>2226931</v>
      </c>
      <c r="C22" s="774">
        <f>+'Resumen '!B65</f>
        <v>2445484</v>
      </c>
      <c r="D22" s="1770">
        <f>B22/C22</f>
        <v>0.91062996118559758</v>
      </c>
      <c r="E22" s="5"/>
      <c r="F22" s="5"/>
      <c r="G22" s="5"/>
      <c r="I22" s="6"/>
      <c r="Q22" s="334" t="s">
        <v>642</v>
      </c>
      <c r="R22" s="1844">
        <v>5267.2628167539997</v>
      </c>
    </row>
    <row r="23" spans="1:18" ht="80.25" customHeight="1">
      <c r="A23" s="2164" t="s">
        <v>643</v>
      </c>
      <c r="B23" s="2164"/>
      <c r="C23" s="2164"/>
      <c r="D23" s="2164"/>
      <c r="P23" s="307">
        <f>+B22-'III.5.3.Afil. SVDS'!B22</f>
        <v>0</v>
      </c>
      <c r="Q23" s="334" t="s">
        <v>644</v>
      </c>
      <c r="R23" s="1844">
        <v>260865.451965438</v>
      </c>
    </row>
    <row r="24" spans="1:18" ht="20.25">
      <c r="Q24" s="334" t="s">
        <v>645</v>
      </c>
      <c r="R24" s="1844">
        <v>2805212.2723502698</v>
      </c>
    </row>
    <row r="25" spans="1:18" ht="20.25">
      <c r="Q25" s="334" t="s">
        <v>646</v>
      </c>
      <c r="R25" s="1844">
        <v>260012.21120458399</v>
      </c>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6">
    <tabColor rgb="FF0070C0"/>
    <pageSetUpPr fitToPage="1"/>
  </sheetPr>
  <dimension ref="A1:I40"/>
  <sheetViews>
    <sheetView showGridLines="0" view="pageBreakPreview" zoomScale="70" zoomScaleNormal="100" zoomScaleSheetLayoutView="70" workbookViewId="0">
      <selection activeCell="I26" sqref="I2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540" customFormat="1" ht="53.25" customHeight="1">
      <c r="A1" s="2166" t="s">
        <v>647</v>
      </c>
      <c r="B1" s="2166"/>
      <c r="C1" s="2166"/>
      <c r="D1" s="2166"/>
      <c r="E1" s="2166"/>
      <c r="F1" s="2166"/>
      <c r="G1" s="2166"/>
      <c r="H1" s="2166"/>
    </row>
    <row r="2" spans="1:9" s="540" customFormat="1" ht="30.75" customHeight="1">
      <c r="A2" s="2167" t="str">
        <f>+'Resumen '!O3</f>
        <v>Período: Abril 2025</v>
      </c>
      <c r="B2" s="2167"/>
      <c r="C2" s="2167"/>
      <c r="D2" s="2167"/>
      <c r="E2" s="2167"/>
      <c r="F2" s="2167"/>
      <c r="G2" s="2167"/>
      <c r="H2" s="2167"/>
    </row>
    <row r="3" spans="1:9" ht="9.75" customHeight="1">
      <c r="A3" s="2165"/>
      <c r="B3" s="2165"/>
      <c r="C3" s="2165"/>
      <c r="D3" s="2165"/>
      <c r="E3" s="2165"/>
      <c r="F3" s="415"/>
      <c r="G3" s="415"/>
      <c r="H3" s="415"/>
    </row>
    <row r="4" spans="1:9" s="64" customFormat="1">
      <c r="A4" s="775" t="s">
        <v>648</v>
      </c>
      <c r="B4" s="775" t="s">
        <v>271</v>
      </c>
      <c r="C4" s="775" t="s">
        <v>266</v>
      </c>
      <c r="D4" s="63"/>
      <c r="E4" s="471"/>
      <c r="F4" s="471"/>
      <c r="G4" s="471"/>
      <c r="H4" s="471"/>
    </row>
    <row r="5" spans="1:9">
      <c r="A5" s="776" t="s">
        <v>649</v>
      </c>
      <c r="B5" s="777">
        <f>+'Resumen '!K18</f>
        <v>36384</v>
      </c>
      <c r="C5" s="778">
        <f>+Tabla5759[[#This Row],[Cotizantes]]/B15</f>
        <v>1.6338180213037585E-2</v>
      </c>
      <c r="D5" s="43"/>
      <c r="E5" s="471"/>
      <c r="F5" s="471"/>
      <c r="G5" s="471"/>
      <c r="H5" s="471"/>
      <c r="I5" s="45">
        <f>C6+C7+C8+C9+C10+C11</f>
        <v>0.75553800274907479</v>
      </c>
    </row>
    <row r="6" spans="1:9">
      <c r="A6" s="779" t="s">
        <v>650</v>
      </c>
      <c r="B6" s="777">
        <f>+'Resumen '!K19</f>
        <v>254497</v>
      </c>
      <c r="C6" s="778">
        <f>+Tabla5759[[#This Row],[Cotizantes]]/B15</f>
        <v>0.11428149322992046</v>
      </c>
      <c r="D6" s="43"/>
      <c r="E6" s="471"/>
      <c r="F6" s="471"/>
      <c r="G6" s="471"/>
      <c r="H6" s="471"/>
      <c r="I6" s="45">
        <f>+C12+C13</f>
        <v>0.13926655114145881</v>
      </c>
    </row>
    <row r="7" spans="1:9">
      <c r="A7" s="779" t="s">
        <v>651</v>
      </c>
      <c r="B7" s="777">
        <f>+'Resumen '!K20</f>
        <v>327033</v>
      </c>
      <c r="C7" s="778">
        <f>+Tabla5759[[#This Row],[Cotizantes]]/B15</f>
        <v>0.14685367440661609</v>
      </c>
      <c r="D7" s="43"/>
      <c r="E7" s="471"/>
      <c r="F7" s="471"/>
      <c r="G7" s="471"/>
      <c r="H7" s="471"/>
      <c r="I7" s="45">
        <f>C14</f>
        <v>8.8857265896428755E-2</v>
      </c>
    </row>
    <row r="8" spans="1:9">
      <c r="A8" s="779" t="s">
        <v>652</v>
      </c>
      <c r="B8" s="777">
        <f>+'Resumen '!K21</f>
        <v>341841</v>
      </c>
      <c r="C8" s="778">
        <f>+Tabla5759[[#This Row],[Cotizantes]]/B15</f>
        <v>0.15350318442735766</v>
      </c>
      <c r="D8" s="43"/>
      <c r="E8" s="471"/>
      <c r="F8" s="471"/>
      <c r="G8" s="471"/>
      <c r="H8" s="471"/>
      <c r="I8" s="45"/>
    </row>
    <row r="9" spans="1:9">
      <c r="A9" s="779" t="s">
        <v>653</v>
      </c>
      <c r="B9" s="777">
        <f>+'Resumen '!K22</f>
        <v>291985</v>
      </c>
      <c r="C9" s="778">
        <f>+Tabla5759[[#This Row],[Cotizantes]]/B15</f>
        <v>0.13111542297448822</v>
      </c>
      <c r="D9" s="43"/>
      <c r="E9" s="471"/>
      <c r="F9" s="471"/>
      <c r="G9" s="471"/>
      <c r="H9" s="471"/>
      <c r="I9" s="45"/>
    </row>
    <row r="10" spans="1:9">
      <c r="A10" s="779" t="s">
        <v>654</v>
      </c>
      <c r="B10" s="777">
        <f>+'Resumen '!K23</f>
        <v>251107</v>
      </c>
      <c r="C10" s="778">
        <f>+Tabla5759[[#This Row],[Cotizantes]]/B15</f>
        <v>0.11275921885321098</v>
      </c>
      <c r="D10" s="43"/>
      <c r="E10" s="471"/>
      <c r="F10" s="471"/>
      <c r="G10" s="471"/>
      <c r="H10" s="471"/>
    </row>
    <row r="11" spans="1:9">
      <c r="A11" s="779" t="s">
        <v>655</v>
      </c>
      <c r="B11" s="777">
        <f>+'Resumen '!K24</f>
        <v>216068</v>
      </c>
      <c r="C11" s="778">
        <f>+Tabla5759[[#This Row],[Cotizantes]]/B15</f>
        <v>9.7025008857481443E-2</v>
      </c>
      <c r="D11" s="43"/>
      <c r="E11" s="471"/>
      <c r="F11" s="471"/>
      <c r="G11" s="471"/>
      <c r="H11" s="471"/>
    </row>
    <row r="12" spans="1:9">
      <c r="A12" s="779" t="s">
        <v>656</v>
      </c>
      <c r="B12" s="777">
        <f>+'Resumen '!K25</f>
        <v>172700</v>
      </c>
      <c r="C12" s="778">
        <f>+Tabla5759[[#This Row],[Cotizantes]]/B15</f>
        <v>7.755067399932912E-2</v>
      </c>
      <c r="D12" s="46"/>
      <c r="E12" s="471"/>
      <c r="F12" s="471"/>
      <c r="G12" s="471"/>
      <c r="H12" s="471"/>
      <c r="I12" s="45"/>
    </row>
    <row r="13" spans="1:9">
      <c r="A13" s="779" t="s">
        <v>657</v>
      </c>
      <c r="B13" s="777">
        <f>+'Resumen '!K26</f>
        <v>137437</v>
      </c>
      <c r="C13" s="778">
        <f>+Tabla5759[[#This Row],[Cotizantes]]/B15</f>
        <v>6.1715877142129685E-2</v>
      </c>
      <c r="D13" s="43"/>
      <c r="E13" s="471"/>
      <c r="F13" s="471"/>
      <c r="G13" s="471"/>
      <c r="H13" s="471"/>
      <c r="I13" s="45"/>
    </row>
    <row r="14" spans="1:9">
      <c r="A14" s="779" t="s">
        <v>658</v>
      </c>
      <c r="B14" s="777">
        <f>+'Resumen '!K27</f>
        <v>197879</v>
      </c>
      <c r="C14" s="778">
        <f>+Tabla5759[[#This Row],[Cotizantes]]/B15</f>
        <v>8.8857265896428755E-2</v>
      </c>
      <c r="D14" s="43"/>
      <c r="E14" s="471"/>
      <c r="F14" s="471"/>
      <c r="G14" s="471"/>
      <c r="H14" s="471"/>
      <c r="I14" s="45"/>
    </row>
    <row r="15" spans="1:9">
      <c r="A15" s="918" t="s">
        <v>235</v>
      </c>
      <c r="B15" s="919">
        <f>SUM(B5:B14)</f>
        <v>2226931</v>
      </c>
      <c r="C15" s="920">
        <v>1</v>
      </c>
      <c r="D15" s="43"/>
      <c r="E15" s="471"/>
      <c r="F15" s="471"/>
      <c r="G15" s="471"/>
      <c r="H15" s="471"/>
      <c r="I15" s="45">
        <f>+Tabla5759[[#This Row],[Cotizantes]]-'III.5.3.Afil. SVDS'!B22</f>
        <v>0</v>
      </c>
    </row>
    <row r="16" spans="1:9" ht="23.25" customHeight="1">
      <c r="A16" s="1257" t="s">
        <v>659</v>
      </c>
      <c r="B16" s="13"/>
      <c r="C16" s="13"/>
      <c r="D16" s="13"/>
      <c r="I16" s="45"/>
    </row>
    <row r="17" spans="1:9" ht="23.25" customHeight="1">
      <c r="E17" s="34"/>
      <c r="F17" s="34"/>
      <c r="G17" s="34"/>
      <c r="H17" s="34"/>
      <c r="I17" s="45"/>
    </row>
    <row r="18" spans="1:9" ht="23.25" customHeight="1">
      <c r="I18" s="45"/>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74"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7">
    <tabColor rgb="FF0070C0"/>
    <pageSetUpPr fitToPage="1"/>
  </sheetPr>
  <dimension ref="A1:J45"/>
  <sheetViews>
    <sheetView showGridLines="0" view="pageBreakPreview" zoomScale="70" zoomScaleNormal="100" zoomScaleSheetLayoutView="70" workbookViewId="0">
      <selection activeCell="J16" sqref="J16"/>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10" s="540" customFormat="1" ht="49.5" customHeight="1">
      <c r="A1" s="2146" t="s">
        <v>660</v>
      </c>
      <c r="B1" s="2147"/>
      <c r="C1" s="2147"/>
      <c r="D1" s="2147"/>
      <c r="E1" s="2147"/>
      <c r="F1" s="2147"/>
      <c r="G1" s="2147"/>
      <c r="H1" s="2147"/>
      <c r="I1" s="2168"/>
    </row>
    <row r="2" spans="1:10" s="540" customFormat="1" ht="29.25" customHeight="1" thickBot="1">
      <c r="A2" s="2169" t="str">
        <f>+'Resumen '!O3</f>
        <v>Período: Abril 2025</v>
      </c>
      <c r="B2" s="2170"/>
      <c r="C2" s="2170"/>
      <c r="D2" s="2170"/>
      <c r="E2" s="2170"/>
      <c r="F2" s="2170"/>
      <c r="G2" s="2170"/>
      <c r="H2" s="2170"/>
      <c r="I2" s="2171"/>
    </row>
    <row r="3" spans="1:10" ht="27" customHeight="1">
      <c r="A3" s="47"/>
      <c r="B3" s="47"/>
      <c r="C3" s="47"/>
      <c r="G3" s="18"/>
      <c r="H3" s="47"/>
      <c r="I3" s="47"/>
    </row>
    <row r="4" spans="1:10" ht="44.25" customHeight="1">
      <c r="A4" s="780" t="s">
        <v>661</v>
      </c>
      <c r="B4" s="781" t="s">
        <v>271</v>
      </c>
      <c r="C4" s="782" t="s">
        <v>266</v>
      </c>
    </row>
    <row r="5" spans="1:10">
      <c r="A5" s="783" t="s">
        <v>662</v>
      </c>
      <c r="B5" s="1246">
        <f>+'Resumen '!K32</f>
        <v>904386</v>
      </c>
      <c r="C5" s="784">
        <f>+Tabla20[[#This Row],[Cotizantes]]/B14</f>
        <v>0.40611316650583246</v>
      </c>
    </row>
    <row r="6" spans="1:10">
      <c r="A6" s="783" t="s">
        <v>663</v>
      </c>
      <c r="B6" s="1246">
        <f>+'Resumen '!K33</f>
        <v>837993</v>
      </c>
      <c r="C6" s="784">
        <f>+Tabla20[[#This Row],[Cotizantes]]/B14</f>
        <v>0.37629949019525077</v>
      </c>
    </row>
    <row r="7" spans="1:10">
      <c r="A7" s="783" t="s">
        <v>664</v>
      </c>
      <c r="B7" s="1246">
        <f>+'Resumen '!K34</f>
        <v>232602</v>
      </c>
      <c r="C7" s="784">
        <f>+Tabla20[[#This Row],[Cotizantes]]/B14</f>
        <v>0.10444957656972757</v>
      </c>
    </row>
    <row r="8" spans="1:10">
      <c r="A8" s="783" t="s">
        <v>665</v>
      </c>
      <c r="B8" s="1246">
        <f>+'Resumen '!K35</f>
        <v>135616</v>
      </c>
      <c r="C8" s="784">
        <f>+Tabla20[[#This Row],[Cotizantes]]/B14</f>
        <v>6.0898159844198135E-2</v>
      </c>
    </row>
    <row r="9" spans="1:10">
      <c r="A9" s="783" t="s">
        <v>666</v>
      </c>
      <c r="B9" s="1246">
        <f>+'Resumen '!K36</f>
        <v>63522</v>
      </c>
      <c r="C9" s="784">
        <f>+Tabla20[[#This Row],[Cotizantes]]/B14</f>
        <v>2.8524458099510042E-2</v>
      </c>
    </row>
    <row r="10" spans="1:10">
      <c r="A10" s="783" t="s">
        <v>667</v>
      </c>
      <c r="B10" s="1246">
        <f>+'Resumen '!K37</f>
        <v>21841</v>
      </c>
      <c r="C10" s="784">
        <f>+Tabla20[[#This Row],[Cotizantes]]/B14</f>
        <v>9.8076680418028219E-3</v>
      </c>
    </row>
    <row r="11" spans="1:10">
      <c r="A11" s="783" t="s">
        <v>668</v>
      </c>
      <c r="B11" s="1246">
        <f>+'Resumen '!K38</f>
        <v>11990</v>
      </c>
      <c r="C11" s="784">
        <f>+Tabla20[[#This Row],[Cotizantes]]/B14</f>
        <v>5.3840913795712578E-3</v>
      </c>
    </row>
    <row r="12" spans="1:10">
      <c r="A12" s="783" t="s">
        <v>669</v>
      </c>
      <c r="B12" s="1246">
        <f>+'Resumen '!K39</f>
        <v>10813</v>
      </c>
      <c r="C12" s="784">
        <f>+Tabla20[[#This Row],[Cotizantes]]/B14</f>
        <v>4.855561308365639E-3</v>
      </c>
    </row>
    <row r="13" spans="1:10">
      <c r="A13" s="788" t="s">
        <v>670</v>
      </c>
      <c r="B13" s="1246">
        <f>+'Resumen '!K40</f>
        <v>8168</v>
      </c>
      <c r="C13" s="784">
        <f>+Tabla20[[#This Row],[Cotizantes]]/B14</f>
        <v>3.6678280557412872E-3</v>
      </c>
    </row>
    <row r="14" spans="1:10">
      <c r="A14" s="785" t="s">
        <v>235</v>
      </c>
      <c r="B14" s="786">
        <f>SUM(B5:B13)</f>
        <v>2226931</v>
      </c>
      <c r="C14" s="787">
        <f>SUM(C5:C13)</f>
        <v>0.99999999999999978</v>
      </c>
    </row>
    <row r="15" spans="1:10" ht="23.25" customHeight="1">
      <c r="A15" s="404" t="s">
        <v>671</v>
      </c>
      <c r="D15" s="24"/>
      <c r="F15" s="18"/>
      <c r="J15">
        <f>+B14-'III.5.3.Afil. SVDS'!B22</f>
        <v>0</v>
      </c>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63"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2">
    <tabColor theme="3" tint="-0.499984740745262"/>
    <pageSetUpPr fitToPage="1"/>
  </sheetPr>
  <dimension ref="A1:W283"/>
  <sheetViews>
    <sheetView showGridLines="0" view="pageBreakPreview" zoomScale="25" zoomScaleNormal="39" zoomScaleSheetLayoutView="25" workbookViewId="0">
      <selection activeCell="O21" sqref="O21"/>
    </sheetView>
  </sheetViews>
  <sheetFormatPr defaultColWidth="11.42578125" defaultRowHeight="23.25"/>
  <cols>
    <col min="1" max="1" width="19.85546875" style="307" customWidth="1"/>
    <col min="2" max="2" width="43.28515625" style="307" customWidth="1"/>
    <col min="3" max="3" width="40.7109375" style="307" customWidth="1"/>
    <col min="4" max="4" width="58.140625" style="307" customWidth="1"/>
    <col min="5" max="5" width="47.85546875" style="307" customWidth="1"/>
    <col min="6" max="6" width="102.28515625" style="307" customWidth="1"/>
    <col min="7" max="7" width="118.28515625" style="307" customWidth="1"/>
    <col min="8" max="8" width="38.5703125" style="307" customWidth="1"/>
    <col min="9" max="9" width="83.5703125" style="307" customWidth="1"/>
    <col min="10" max="10" width="38.140625" style="307" customWidth="1"/>
    <col min="11" max="11" width="51" style="307" customWidth="1"/>
    <col min="12" max="12" width="37.85546875" style="307" customWidth="1"/>
    <col min="13" max="13" width="24.42578125" style="307" customWidth="1"/>
    <col min="14" max="14" width="42.140625" style="268" customWidth="1"/>
    <col min="15" max="15" width="75.28515625" style="1236" customWidth="1"/>
    <col min="16" max="16" width="132.140625" style="1236" customWidth="1"/>
    <col min="17" max="17" width="91.5703125" style="1236" customWidth="1"/>
    <col min="18" max="18" width="78.42578125" style="1236" bestFit="1" customWidth="1"/>
    <col min="19" max="20" width="45.28515625" style="1236" customWidth="1"/>
    <col min="21" max="21" width="45.28515625" style="268" customWidth="1"/>
    <col min="22" max="22" width="56.140625" style="268" bestFit="1" customWidth="1"/>
    <col min="23" max="16384" width="11.42578125" style="268"/>
  </cols>
  <sheetData>
    <row r="1" spans="1:20" ht="296.25" customHeight="1">
      <c r="A1" s="2010" t="s">
        <v>172</v>
      </c>
      <c r="B1" s="2010"/>
      <c r="C1" s="2010"/>
      <c r="D1" s="2010"/>
      <c r="E1" s="2010"/>
      <c r="F1" s="2010"/>
      <c r="G1" s="2010"/>
      <c r="H1" s="2010"/>
      <c r="I1" s="2010"/>
      <c r="J1" s="2010"/>
      <c r="K1" s="2010"/>
      <c r="L1" s="2010"/>
      <c r="M1" s="2011"/>
    </row>
    <row r="2" spans="1:20" ht="24.75" customHeight="1">
      <c r="A2" s="317"/>
      <c r="B2" s="317"/>
      <c r="C2" s="317"/>
      <c r="D2" s="317"/>
      <c r="E2" s="317"/>
      <c r="F2" s="317"/>
      <c r="G2" s="317"/>
      <c r="H2" s="317"/>
      <c r="I2" s="317"/>
      <c r="J2" s="317"/>
      <c r="K2" s="317"/>
      <c r="L2" s="317"/>
      <c r="M2" s="317"/>
    </row>
    <row r="3" spans="1:20" ht="96" customHeight="1">
      <c r="A3" s="2012" t="s">
        <v>173</v>
      </c>
      <c r="B3" s="2012"/>
      <c r="C3" s="2012"/>
      <c r="D3" s="2012"/>
      <c r="E3" s="2012"/>
      <c r="F3" s="2012"/>
      <c r="G3" s="2012"/>
      <c r="H3" s="2012"/>
      <c r="I3" s="2012"/>
      <c r="J3" s="2012"/>
      <c r="K3" s="2012"/>
      <c r="L3" s="2012"/>
      <c r="M3" s="2013"/>
    </row>
    <row r="6" spans="1:20" ht="24" customHeight="1">
      <c r="E6" s="308"/>
    </row>
    <row r="7" spans="1:20" s="887" customFormat="1" ht="134.25" customHeight="1">
      <c r="A7" s="2009" t="s">
        <v>174</v>
      </c>
      <c r="B7" s="2009"/>
      <c r="C7" s="2009"/>
      <c r="D7" s="2009"/>
      <c r="E7" s="2009"/>
      <c r="F7" s="2009" t="s">
        <v>175</v>
      </c>
      <c r="G7" s="2009"/>
      <c r="H7" s="2009"/>
      <c r="I7" s="2009"/>
      <c r="J7" s="2009"/>
      <c r="K7" s="2009"/>
      <c r="L7" s="2009"/>
      <c r="M7" s="2009"/>
      <c r="O7" s="1237"/>
      <c r="P7" s="1237"/>
      <c r="Q7" s="1237"/>
      <c r="R7" s="1237"/>
      <c r="S7" s="1237"/>
      <c r="T7" s="1237"/>
    </row>
    <row r="8" spans="1:20" ht="57" customHeight="1"/>
    <row r="9" spans="1:20" ht="60">
      <c r="A9" s="311"/>
      <c r="B9" s="1281" t="s">
        <v>176</v>
      </c>
      <c r="C9" s="1282"/>
      <c r="D9" s="1281" t="s">
        <v>177</v>
      </c>
      <c r="F9" s="2014"/>
      <c r="G9" s="2014"/>
      <c r="H9" s="2014"/>
      <c r="I9" s="2014"/>
    </row>
    <row r="10" spans="1:20" ht="60">
      <c r="A10" s="311"/>
      <c r="B10" s="1283">
        <f>+'III.1.5.Afil. SFS x sexo'!R23</f>
        <v>0.50269883883693789</v>
      </c>
      <c r="C10" s="1284"/>
      <c r="D10" s="1285">
        <f>+'III.1.5.Afil. SFS x sexo'!S23</f>
        <v>0.49730116116306211</v>
      </c>
    </row>
    <row r="11" spans="1:20" ht="35.25">
      <c r="B11" s="1286"/>
      <c r="C11" s="1287"/>
      <c r="D11" s="1288"/>
    </row>
    <row r="12" spans="1:20" ht="60">
      <c r="B12" s="1288"/>
      <c r="C12" s="1289"/>
      <c r="D12" s="1288"/>
      <c r="E12" s="311"/>
    </row>
    <row r="13" spans="1:20" ht="50.25" customHeight="1">
      <c r="B13" s="1288"/>
      <c r="C13" s="1288"/>
      <c r="D13" s="1288"/>
      <c r="F13" s="310"/>
      <c r="G13" s="310"/>
      <c r="H13" s="310"/>
      <c r="I13" s="310"/>
      <c r="J13" s="310"/>
    </row>
    <row r="14" spans="1:20" ht="16.5" customHeight="1">
      <c r="B14" s="1288"/>
      <c r="C14" s="1288"/>
      <c r="D14" s="1288"/>
      <c r="E14" s="310"/>
      <c r="F14" s="310"/>
      <c r="G14" s="310"/>
      <c r="H14" s="310"/>
      <c r="I14" s="310"/>
      <c r="J14" s="310"/>
    </row>
    <row r="15" spans="1:20" ht="35.25">
      <c r="B15" s="1288"/>
      <c r="C15" s="1288"/>
      <c r="D15" s="1288"/>
      <c r="G15" s="312"/>
      <c r="H15" s="312"/>
      <c r="J15" s="308"/>
    </row>
    <row r="16" spans="1:20" ht="42.75" customHeight="1">
      <c r="B16" s="1288"/>
      <c r="C16" s="1288"/>
      <c r="D16" s="1288"/>
      <c r="G16" s="308"/>
      <c r="H16" s="308"/>
    </row>
    <row r="17" spans="1:23" ht="43.5" customHeight="1">
      <c r="B17" s="1288"/>
      <c r="C17" s="1288"/>
      <c r="D17" s="1288"/>
      <c r="G17" s="309"/>
      <c r="H17" s="309"/>
    </row>
    <row r="18" spans="1:23" ht="31.5" customHeight="1">
      <c r="B18" s="1288"/>
      <c r="C18" s="1288"/>
      <c r="D18" s="1288"/>
      <c r="G18" s="309"/>
      <c r="H18" s="309"/>
    </row>
    <row r="19" spans="1:23" ht="136.5" customHeight="1">
      <c r="B19" s="1288"/>
      <c r="C19" s="1288"/>
      <c r="D19" s="1288"/>
      <c r="G19" s="310"/>
      <c r="H19" s="310"/>
    </row>
    <row r="20" spans="1:23" ht="126" customHeight="1">
      <c r="B20" s="1288"/>
      <c r="C20" s="1288"/>
      <c r="D20" s="1288"/>
      <c r="J20" s="313"/>
      <c r="O20" s="1236">
        <v>0</v>
      </c>
    </row>
    <row r="21" spans="1:23" ht="178.5" customHeight="1">
      <c r="B21" s="1288"/>
      <c r="C21" s="1290"/>
      <c r="D21" s="1288"/>
      <c r="J21" s="314"/>
    </row>
    <row r="22" spans="1:23" ht="81" customHeight="1">
      <c r="C22" s="314"/>
      <c r="J22" s="314"/>
    </row>
    <row r="23" spans="1:23" ht="34.5" customHeight="1">
      <c r="C23" s="314"/>
      <c r="J23" s="314"/>
    </row>
    <row r="24" spans="1:23" s="269" customFormat="1" ht="90" customHeight="1">
      <c r="A24" s="2009" t="s">
        <v>178</v>
      </c>
      <c r="B24" s="2009"/>
      <c r="C24" s="2009"/>
      <c r="D24" s="2009"/>
      <c r="E24" s="2009"/>
      <c r="F24" s="2009"/>
      <c r="G24" s="2009" t="s">
        <v>179</v>
      </c>
      <c r="H24" s="2009"/>
      <c r="I24" s="2009"/>
      <c r="J24" s="2009"/>
      <c r="K24" s="2009"/>
      <c r="L24" s="2009"/>
      <c r="M24" s="2009"/>
      <c r="N24" s="268"/>
      <c r="O24" s="1236"/>
      <c r="P24" s="1236"/>
      <c r="Q24" s="1236"/>
      <c r="R24" s="1236"/>
      <c r="S24" s="1236"/>
      <c r="T24" s="1236"/>
      <c r="U24" s="268"/>
      <c r="V24" s="268"/>
      <c r="W24" s="268"/>
    </row>
    <row r="25" spans="1:23" ht="6.75" customHeight="1"/>
    <row r="26" spans="1:23" ht="16.5" customHeight="1">
      <c r="C26" s="314"/>
      <c r="J26" s="314"/>
    </row>
    <row r="27" spans="1:23" ht="27">
      <c r="C27" s="313"/>
      <c r="L27" s="313"/>
    </row>
    <row r="28" spans="1:23" ht="27">
      <c r="C28" s="313"/>
      <c r="L28" s="313"/>
    </row>
    <row r="29" spans="1:23" ht="27">
      <c r="L29" s="313"/>
    </row>
    <row r="40" ht="225.75" customHeight="1"/>
    <row r="41" ht="37.5" customHeight="1"/>
    <row r="51" spans="1:13" ht="86.25" customHeight="1"/>
    <row r="60" spans="1:13" ht="156" customHeight="1">
      <c r="A60" s="2009" t="s">
        <v>180</v>
      </c>
      <c r="B60" s="2009"/>
      <c r="C60" s="2009"/>
      <c r="D60" s="2009"/>
      <c r="E60" s="2009"/>
      <c r="F60" s="2009"/>
      <c r="G60" s="2009" t="s">
        <v>181</v>
      </c>
      <c r="H60" s="2009"/>
      <c r="I60" s="2009"/>
      <c r="J60" s="2009"/>
      <c r="K60" s="2009"/>
      <c r="L60" s="2009"/>
      <c r="M60" s="2009"/>
    </row>
    <row r="77" ht="65.25" customHeight="1"/>
    <row r="78" ht="95.25" customHeight="1"/>
    <row r="83" spans="1:23" ht="143.25" customHeight="1"/>
    <row r="88" spans="1:23" ht="35.25">
      <c r="N88" s="269"/>
      <c r="U88" s="269"/>
      <c r="V88" s="269"/>
      <c r="W88" s="269"/>
    </row>
    <row r="90" spans="1:23" ht="85.5" customHeight="1">
      <c r="G90" s="2015" t="s">
        <v>182</v>
      </c>
      <c r="H90" s="2015"/>
      <c r="I90" s="2015"/>
      <c r="J90" s="2015"/>
      <c r="K90" s="2015"/>
      <c r="L90" s="2015"/>
    </row>
    <row r="91" spans="1:23" ht="45">
      <c r="B91" s="519" t="s">
        <v>183</v>
      </c>
    </row>
    <row r="93" spans="1:23">
      <c r="A93" s="268"/>
      <c r="B93" s="268"/>
      <c r="C93" s="268"/>
      <c r="D93" s="268"/>
      <c r="E93" s="268"/>
    </row>
    <row r="94" spans="1:23" ht="56.25" customHeight="1">
      <c r="A94" s="2009" t="s">
        <v>184</v>
      </c>
      <c r="B94" s="2009"/>
      <c r="C94" s="2009"/>
      <c r="D94" s="2009"/>
      <c r="E94" s="2009"/>
      <c r="F94" s="2009"/>
      <c r="G94" s="2009"/>
      <c r="H94" s="2009" t="s">
        <v>185</v>
      </c>
      <c r="I94" s="2009"/>
      <c r="J94" s="2009"/>
      <c r="K94" s="2009"/>
      <c r="L94" s="2009"/>
      <c r="M94" s="2009"/>
    </row>
    <row r="104" spans="2:23" ht="72" customHeight="1"/>
    <row r="105" spans="2:23" hidden="1"/>
    <row r="108" spans="2:23" s="269" customFormat="1" ht="260.25" customHeight="1">
      <c r="B108" s="316"/>
      <c r="D108" s="324"/>
      <c r="L108" s="316"/>
      <c r="M108" s="316"/>
      <c r="N108" s="268"/>
      <c r="O108" s="1236"/>
      <c r="P108" s="1236"/>
      <c r="Q108" s="1236"/>
      <c r="R108" s="1236"/>
      <c r="S108" s="1236"/>
      <c r="T108" s="1236"/>
      <c r="U108" s="268"/>
      <c r="V108" s="268"/>
      <c r="W108" s="268"/>
    </row>
    <row r="116" spans="1:20">
      <c r="B116" s="315"/>
      <c r="C116" s="315"/>
      <c r="D116" s="315"/>
    </row>
    <row r="118" spans="1:20" ht="44.25" customHeight="1">
      <c r="B118" s="519" t="s">
        <v>186</v>
      </c>
      <c r="G118" s="2016" t="s">
        <v>186</v>
      </c>
      <c r="H118" s="2016"/>
    </row>
    <row r="119" spans="1:20" ht="23.25" customHeight="1">
      <c r="G119" s="519"/>
    </row>
    <row r="121" spans="1:20" ht="5.25" customHeight="1"/>
    <row r="123" spans="1:20" ht="92.25">
      <c r="A123" s="2012" t="s">
        <v>187</v>
      </c>
      <c r="B123" s="2012"/>
      <c r="C123" s="2012"/>
      <c r="D123" s="2012"/>
      <c r="E123" s="2012"/>
      <c r="F123" s="2012"/>
      <c r="G123" s="2012"/>
      <c r="H123" s="2012"/>
      <c r="I123" s="2012"/>
      <c r="J123" s="2012"/>
      <c r="K123" s="2012"/>
      <c r="L123" s="2012"/>
      <c r="M123" s="2013"/>
    </row>
    <row r="124" spans="1:20" ht="30.75" customHeight="1">
      <c r="D124" s="268"/>
      <c r="E124" s="268"/>
      <c r="F124" s="268"/>
      <c r="G124" s="268"/>
      <c r="H124" s="268"/>
      <c r="I124" s="268"/>
      <c r="J124" s="268"/>
    </row>
    <row r="126" spans="1:20" s="1291" customFormat="1" ht="126" customHeight="1">
      <c r="A126" s="2009" t="s">
        <v>188</v>
      </c>
      <c r="B126" s="2009"/>
      <c r="C126" s="2009"/>
      <c r="D126" s="2009"/>
      <c r="E126" s="2009"/>
      <c r="F126" s="2009"/>
      <c r="G126" s="2009"/>
      <c r="H126" s="2009" t="s">
        <v>189</v>
      </c>
      <c r="I126" s="2009"/>
      <c r="J126" s="2009"/>
      <c r="K126" s="2009"/>
      <c r="L126" s="2009"/>
      <c r="M126" s="2009"/>
      <c r="O126" s="1292"/>
      <c r="P126" s="1292"/>
      <c r="Q126" s="1292"/>
      <c r="R126" s="1292"/>
      <c r="S126" s="1292"/>
      <c r="T126" s="1292"/>
    </row>
    <row r="127" spans="1:20" s="1294" customFormat="1" ht="33.75">
      <c r="A127" s="1293"/>
      <c r="B127" s="1293"/>
      <c r="C127" s="1293"/>
      <c r="D127" s="1293"/>
      <c r="E127" s="1293"/>
      <c r="F127" s="1293"/>
      <c r="G127" s="1293"/>
      <c r="H127" s="1293"/>
      <c r="I127" s="1280"/>
      <c r="J127" s="2017"/>
      <c r="K127" s="2017"/>
      <c r="L127" s="2017"/>
      <c r="M127" s="1293"/>
      <c r="O127" s="1295"/>
      <c r="P127" s="1295"/>
      <c r="Q127" s="1295"/>
      <c r="R127" s="1295"/>
      <c r="S127" s="1295"/>
      <c r="T127" s="1295"/>
    </row>
    <row r="128" spans="1:20" s="1296" customFormat="1">
      <c r="A128" s="1288"/>
      <c r="B128" s="1288"/>
      <c r="C128" s="1288"/>
      <c r="D128" s="1288"/>
      <c r="E128" s="1288"/>
      <c r="F128" s="1288"/>
      <c r="G128" s="1288"/>
      <c r="H128" s="1288"/>
      <c r="I128" s="1288"/>
      <c r="J128" s="1288"/>
      <c r="K128" s="1288"/>
      <c r="L128" s="1288"/>
      <c r="M128" s="1288"/>
      <c r="O128" s="1292"/>
      <c r="P128" s="1292"/>
      <c r="Q128" s="1292"/>
      <c r="R128" s="1292"/>
      <c r="S128" s="1292"/>
      <c r="T128" s="1292"/>
    </row>
    <row r="129" spans="1:20" s="1296" customFormat="1">
      <c r="A129" s="1288"/>
      <c r="B129" s="1288"/>
      <c r="C129" s="1288"/>
      <c r="D129" s="1288"/>
      <c r="E129" s="1288"/>
      <c r="F129" s="1288"/>
      <c r="G129" s="1288"/>
      <c r="H129" s="1288"/>
      <c r="I129" s="1288"/>
      <c r="J129" s="1288"/>
      <c r="K129" s="1288"/>
      <c r="L129" s="1288"/>
      <c r="M129" s="1288"/>
      <c r="O129" s="1292"/>
      <c r="P129" s="1292"/>
      <c r="Q129" s="1292"/>
      <c r="R129" s="1292"/>
      <c r="S129" s="1292"/>
      <c r="T129" s="1292"/>
    </row>
    <row r="130" spans="1:20" s="1296" customFormat="1">
      <c r="A130" s="1288"/>
      <c r="B130" s="1288"/>
      <c r="C130" s="1288"/>
      <c r="D130" s="1288"/>
      <c r="E130" s="1288"/>
      <c r="F130" s="1288"/>
      <c r="G130" s="1288"/>
      <c r="H130" s="1288"/>
      <c r="I130" s="1288"/>
      <c r="J130" s="1288"/>
      <c r="K130" s="1288"/>
      <c r="L130" s="1288"/>
      <c r="M130" s="1288"/>
      <c r="O130" s="1292"/>
      <c r="P130" s="1292"/>
      <c r="Q130" s="1292"/>
      <c r="R130" s="1292"/>
      <c r="S130" s="1292"/>
      <c r="T130" s="1292"/>
    </row>
    <row r="131" spans="1:20" s="1296" customFormat="1">
      <c r="A131" s="1288"/>
      <c r="B131" s="1288"/>
      <c r="C131" s="1288"/>
      <c r="D131" s="1288"/>
      <c r="E131" s="1288"/>
      <c r="F131" s="1288"/>
      <c r="G131" s="1288"/>
      <c r="H131" s="1288"/>
      <c r="I131" s="1288"/>
      <c r="J131" s="1288"/>
      <c r="K131" s="1288"/>
      <c r="L131" s="1288"/>
      <c r="M131" s="1288"/>
      <c r="O131" s="1292"/>
      <c r="P131" s="1292" t="s">
        <v>190</v>
      </c>
      <c r="Q131" s="1292"/>
      <c r="R131" s="1292"/>
      <c r="S131" s="1292"/>
      <c r="T131" s="1292"/>
    </row>
    <row r="132" spans="1:20" s="1296" customFormat="1">
      <c r="A132" s="1288"/>
      <c r="B132" s="1288"/>
      <c r="C132" s="1288"/>
      <c r="D132" s="1288"/>
      <c r="E132" s="1288"/>
      <c r="F132" s="1288"/>
      <c r="G132" s="1288"/>
      <c r="H132" s="1288"/>
      <c r="I132" s="1288"/>
      <c r="J132" s="1288"/>
      <c r="K132" s="1288"/>
      <c r="L132" s="1288"/>
      <c r="M132" s="1288"/>
      <c r="O132" s="1292"/>
      <c r="P132" s="1292"/>
      <c r="Q132" s="1292"/>
      <c r="R132" s="1292"/>
      <c r="S132" s="1292"/>
      <c r="T132" s="1292"/>
    </row>
    <row r="133" spans="1:20" s="1296" customFormat="1">
      <c r="A133" s="1288"/>
      <c r="B133" s="1288"/>
      <c r="C133" s="1288"/>
      <c r="D133" s="1288"/>
      <c r="E133" s="1288"/>
      <c r="F133" s="1288"/>
      <c r="G133" s="1288"/>
      <c r="H133" s="1288"/>
      <c r="I133" s="1288"/>
      <c r="J133" s="1288"/>
      <c r="K133" s="1288"/>
      <c r="L133" s="1288"/>
      <c r="M133" s="1288"/>
      <c r="O133" s="1292"/>
      <c r="P133" s="1292"/>
      <c r="Q133" s="1292"/>
      <c r="R133" s="1292"/>
      <c r="S133" s="1292"/>
      <c r="T133" s="1292"/>
    </row>
    <row r="134" spans="1:20" s="1296" customFormat="1">
      <c r="A134" s="1288"/>
      <c r="B134" s="1288"/>
      <c r="C134" s="1288"/>
      <c r="D134" s="1288"/>
      <c r="E134" s="1288"/>
      <c r="F134" s="1288"/>
      <c r="G134" s="1288"/>
      <c r="H134" s="1288"/>
      <c r="I134" s="1288"/>
      <c r="J134" s="1288"/>
      <c r="K134" s="1288"/>
      <c r="L134" s="1288"/>
      <c r="M134" s="1288"/>
      <c r="O134" s="1292"/>
      <c r="P134" s="1292"/>
      <c r="Q134" s="1292"/>
      <c r="R134" s="1292"/>
      <c r="S134" s="1292"/>
      <c r="T134" s="1292"/>
    </row>
    <row r="135" spans="1:20" s="1296" customFormat="1">
      <c r="A135" s="1288"/>
      <c r="B135" s="1288"/>
      <c r="C135" s="1288"/>
      <c r="D135" s="1288"/>
      <c r="E135" s="1288"/>
      <c r="F135" s="1288"/>
      <c r="G135" s="1288"/>
      <c r="H135" s="1288"/>
      <c r="I135" s="1288"/>
      <c r="J135" s="1288"/>
      <c r="K135" s="1288"/>
      <c r="L135" s="1288"/>
      <c r="M135" s="1288"/>
      <c r="O135" s="1292"/>
      <c r="P135" s="1292"/>
      <c r="Q135" s="1292"/>
      <c r="R135" s="1292"/>
      <c r="S135" s="1292"/>
      <c r="T135" s="1292"/>
    </row>
    <row r="136" spans="1:20" s="1296" customFormat="1">
      <c r="A136" s="1288"/>
      <c r="B136" s="1288"/>
      <c r="C136" s="1288"/>
      <c r="D136" s="1288"/>
      <c r="E136" s="1288"/>
      <c r="F136" s="1288"/>
      <c r="G136" s="1288"/>
      <c r="H136" s="1288"/>
      <c r="I136" s="1288"/>
      <c r="J136" s="1288"/>
      <c r="K136" s="1288"/>
      <c r="L136" s="1288"/>
      <c r="M136" s="1288"/>
      <c r="O136" s="1292"/>
      <c r="P136" s="1292"/>
      <c r="Q136" s="1292"/>
      <c r="R136" s="1292"/>
      <c r="S136" s="1292"/>
      <c r="T136" s="1292"/>
    </row>
    <row r="137" spans="1:20" s="1296" customFormat="1">
      <c r="A137" s="1288"/>
      <c r="B137" s="1288"/>
      <c r="C137" s="1288"/>
      <c r="D137" s="1288"/>
      <c r="E137" s="1288"/>
      <c r="F137" s="1288"/>
      <c r="G137" s="1288"/>
      <c r="H137" s="1288"/>
      <c r="I137" s="1288"/>
      <c r="J137" s="1288"/>
      <c r="K137" s="1288"/>
      <c r="L137" s="1288"/>
      <c r="M137" s="1288"/>
      <c r="O137" s="1292"/>
      <c r="P137" s="1292"/>
      <c r="Q137" s="1292"/>
      <c r="R137" s="1292"/>
      <c r="S137" s="1292"/>
      <c r="T137" s="1292"/>
    </row>
    <row r="138" spans="1:20" s="1296" customFormat="1">
      <c r="A138" s="1288"/>
      <c r="B138" s="1288"/>
      <c r="C138" s="1288"/>
      <c r="D138" s="1288"/>
      <c r="E138" s="1288"/>
      <c r="F138" s="1288"/>
      <c r="G138" s="1288"/>
      <c r="H138" s="1288"/>
      <c r="I138" s="1288"/>
      <c r="J138" s="1288"/>
      <c r="K138" s="1288"/>
      <c r="L138" s="1288"/>
      <c r="M138" s="1288"/>
      <c r="O138" s="1292"/>
      <c r="P138" s="1292"/>
      <c r="Q138" s="1292"/>
      <c r="R138" s="1292"/>
      <c r="S138" s="1292"/>
      <c r="T138" s="1292"/>
    </row>
    <row r="139" spans="1:20" s="1296" customFormat="1">
      <c r="A139" s="1288"/>
      <c r="B139" s="1288"/>
      <c r="C139" s="1288"/>
      <c r="D139" s="1288"/>
      <c r="E139" s="1288"/>
      <c r="F139" s="1288"/>
      <c r="G139" s="1288"/>
      <c r="H139" s="1288"/>
      <c r="I139" s="1288"/>
      <c r="J139" s="1288"/>
      <c r="K139" s="1288"/>
      <c r="L139" s="1288"/>
      <c r="M139" s="1288"/>
      <c r="O139" s="1292"/>
      <c r="P139" s="1292"/>
      <c r="Q139" s="1292"/>
      <c r="R139" s="1292"/>
      <c r="S139" s="1292"/>
      <c r="T139" s="1292"/>
    </row>
    <row r="140" spans="1:20" s="1296" customFormat="1">
      <c r="A140" s="1288"/>
      <c r="B140" s="1288"/>
      <c r="C140" s="1288"/>
      <c r="D140" s="1288"/>
      <c r="E140" s="1288"/>
      <c r="F140" s="1288"/>
      <c r="G140" s="1288"/>
      <c r="H140" s="1288"/>
      <c r="I140" s="1288"/>
      <c r="J140" s="1288"/>
      <c r="K140" s="1288"/>
      <c r="L140" s="1288"/>
      <c r="M140" s="1288"/>
      <c r="O140" s="1292"/>
      <c r="P140" s="1292"/>
      <c r="Q140" s="1292"/>
      <c r="R140" s="1292"/>
      <c r="S140" s="1292"/>
      <c r="T140" s="1292"/>
    </row>
    <row r="141" spans="1:20" s="1296" customFormat="1">
      <c r="A141" s="1288"/>
      <c r="B141" s="1288"/>
      <c r="C141" s="1288"/>
      <c r="D141" s="1288"/>
      <c r="E141" s="1288"/>
      <c r="F141" s="1288"/>
      <c r="G141" s="1288"/>
      <c r="H141" s="1288"/>
      <c r="I141" s="1288"/>
      <c r="J141" s="1288"/>
      <c r="K141" s="1288"/>
      <c r="L141" s="1288"/>
      <c r="M141" s="1288"/>
      <c r="O141" s="1292"/>
      <c r="P141" s="1292"/>
      <c r="Q141" s="1292"/>
      <c r="R141" s="1292"/>
      <c r="S141" s="1292"/>
      <c r="T141" s="1292"/>
    </row>
    <row r="142" spans="1:20" s="1296" customFormat="1">
      <c r="A142" s="1288"/>
      <c r="B142" s="1288"/>
      <c r="C142" s="1288"/>
      <c r="D142" s="1288"/>
      <c r="E142" s="1288"/>
      <c r="F142" s="1288"/>
      <c r="G142" s="1288"/>
      <c r="H142" s="1288"/>
      <c r="I142" s="1288"/>
      <c r="J142" s="1288"/>
      <c r="K142" s="1288"/>
      <c r="L142" s="1288"/>
      <c r="M142" s="1288"/>
      <c r="O142" s="1292"/>
      <c r="P142" s="1292"/>
      <c r="Q142" s="1292"/>
      <c r="R142" s="1292"/>
      <c r="S142" s="1292"/>
      <c r="T142" s="1292"/>
    </row>
    <row r="143" spans="1:20" s="1296" customFormat="1">
      <c r="A143" s="1288"/>
      <c r="B143" s="1288"/>
      <c r="C143" s="1288"/>
      <c r="D143" s="1288"/>
      <c r="E143" s="1288"/>
      <c r="F143" s="1288"/>
      <c r="G143" s="1288"/>
      <c r="H143" s="1288"/>
      <c r="I143" s="1288"/>
      <c r="J143" s="1288"/>
      <c r="K143" s="1288"/>
      <c r="L143" s="1288"/>
      <c r="M143" s="1288"/>
      <c r="O143" s="1292"/>
      <c r="P143" s="1292"/>
      <c r="Q143" s="1292"/>
      <c r="R143" s="1292"/>
      <c r="S143" s="1292"/>
      <c r="T143" s="1292"/>
    </row>
    <row r="144" spans="1:20" s="1296" customFormat="1">
      <c r="A144" s="1288"/>
      <c r="B144" s="1288"/>
      <c r="C144" s="1288"/>
      <c r="D144" s="1288"/>
      <c r="E144" s="1288"/>
      <c r="F144" s="1288"/>
      <c r="G144" s="1288"/>
      <c r="H144" s="1288"/>
      <c r="I144" s="1288"/>
      <c r="J144" s="1288"/>
      <c r="K144" s="1288"/>
      <c r="L144" s="1288"/>
      <c r="M144" s="1288"/>
      <c r="O144" s="1292"/>
      <c r="P144" s="1292"/>
      <c r="Q144" s="1292"/>
      <c r="R144" s="1292"/>
      <c r="S144" s="1292"/>
      <c r="T144" s="1292"/>
    </row>
    <row r="145" spans="1:20" s="1296" customFormat="1" ht="200.25" customHeight="1">
      <c r="A145" s="1288"/>
      <c r="B145" s="1288"/>
      <c r="C145" s="1288"/>
      <c r="D145" s="1288"/>
      <c r="E145" s="1288"/>
      <c r="F145" s="1288"/>
      <c r="G145" s="1288"/>
      <c r="H145" s="1288"/>
      <c r="I145" s="1288"/>
      <c r="J145" s="1288"/>
      <c r="K145" s="1288"/>
      <c r="L145" s="1288"/>
      <c r="M145" s="1288"/>
      <c r="O145" s="1292"/>
      <c r="P145" s="1292"/>
      <c r="Q145" s="1292"/>
      <c r="R145" s="1292"/>
      <c r="S145" s="1292"/>
      <c r="T145" s="1292"/>
    </row>
    <row r="146" spans="1:20" s="1296" customFormat="1">
      <c r="A146" s="1288"/>
      <c r="B146" s="1288"/>
      <c r="C146" s="1288"/>
      <c r="D146" s="1288"/>
      <c r="E146" s="1288"/>
      <c r="F146" s="1288"/>
      <c r="G146" s="1288"/>
      <c r="H146" s="1288"/>
      <c r="I146" s="1288"/>
      <c r="J146" s="1288"/>
      <c r="K146" s="1288"/>
      <c r="L146" s="1288"/>
      <c r="M146" s="1288"/>
      <c r="O146" s="1292"/>
      <c r="P146" s="1292"/>
      <c r="Q146" s="1292"/>
      <c r="R146" s="1292"/>
      <c r="S146" s="1292"/>
      <c r="T146" s="1292"/>
    </row>
    <row r="147" spans="1:20" s="1296" customFormat="1">
      <c r="A147" s="1288"/>
      <c r="B147" s="1288"/>
      <c r="C147" s="1288"/>
      <c r="D147" s="1288"/>
      <c r="E147" s="1288"/>
      <c r="F147" s="1288"/>
      <c r="G147" s="1288"/>
      <c r="H147" s="1288"/>
      <c r="I147" s="1288"/>
      <c r="J147" s="1288"/>
      <c r="K147" s="1288"/>
      <c r="L147" s="1288"/>
      <c r="M147" s="1288"/>
      <c r="O147" s="1292"/>
      <c r="P147" s="1292"/>
      <c r="Q147" s="1292"/>
      <c r="R147" s="1292"/>
      <c r="S147" s="1292"/>
      <c r="T147" s="1292"/>
    </row>
    <row r="148" spans="1:20" s="1296" customFormat="1">
      <c r="A148" s="1288"/>
      <c r="B148" s="1288"/>
      <c r="C148" s="1288"/>
      <c r="D148" s="1288"/>
      <c r="E148" s="1288"/>
      <c r="F148" s="1288"/>
      <c r="G148" s="1288"/>
      <c r="H148" s="1288"/>
      <c r="I148" s="1288"/>
      <c r="J148" s="1288"/>
      <c r="K148" s="1288"/>
      <c r="L148" s="1288"/>
      <c r="M148" s="1288"/>
      <c r="O148" s="1292"/>
      <c r="P148" s="1292"/>
      <c r="Q148" s="1292"/>
      <c r="R148" s="1292"/>
      <c r="S148" s="1292"/>
      <c r="T148" s="1292"/>
    </row>
    <row r="149" spans="1:20" s="1296" customFormat="1">
      <c r="A149" s="1288"/>
      <c r="B149" s="1288"/>
      <c r="C149" s="1288"/>
      <c r="D149" s="1288"/>
      <c r="E149" s="1288"/>
      <c r="F149" s="1288"/>
      <c r="G149" s="1288"/>
      <c r="H149" s="1288"/>
      <c r="I149" s="1288"/>
      <c r="J149" s="1288"/>
      <c r="K149" s="1288"/>
      <c r="L149" s="1288"/>
      <c r="M149" s="1288"/>
      <c r="O149" s="1292"/>
      <c r="P149" s="1292"/>
      <c r="Q149" s="1292"/>
      <c r="R149" s="1292"/>
      <c r="S149" s="1292"/>
      <c r="T149" s="1292"/>
    </row>
    <row r="150" spans="1:20" s="1296" customFormat="1" ht="173.25" customHeight="1">
      <c r="A150" s="1288"/>
      <c r="B150" s="1288"/>
      <c r="C150" s="1288"/>
      <c r="D150" s="1288"/>
      <c r="E150" s="1288"/>
      <c r="F150" s="1288"/>
      <c r="G150" s="1288"/>
      <c r="H150" s="1288"/>
      <c r="I150" s="1288"/>
      <c r="J150" s="1288"/>
      <c r="K150" s="1288"/>
      <c r="L150" s="1288"/>
      <c r="M150" s="1288"/>
      <c r="O150" s="1292"/>
      <c r="P150" s="1292"/>
      <c r="Q150" s="1292"/>
      <c r="R150" s="1292"/>
      <c r="S150" s="1292"/>
      <c r="T150" s="1292"/>
    </row>
    <row r="151" spans="1:20" s="1296" customFormat="1">
      <c r="A151" s="1288"/>
      <c r="B151" s="1288"/>
      <c r="C151" s="1288"/>
      <c r="D151" s="1288"/>
      <c r="E151" s="1288"/>
      <c r="F151" s="1288"/>
      <c r="G151" s="1288"/>
      <c r="H151" s="1288"/>
      <c r="I151" s="1288"/>
      <c r="J151" s="1288"/>
      <c r="K151" s="1288"/>
      <c r="L151" s="1288"/>
      <c r="M151" s="1288"/>
      <c r="O151" s="1292"/>
      <c r="P151" s="1292"/>
      <c r="Q151" s="1292"/>
      <c r="R151" s="1292"/>
      <c r="S151" s="1292"/>
      <c r="T151" s="1292"/>
    </row>
    <row r="152" spans="1:20" s="1296" customFormat="1">
      <c r="A152" s="1288"/>
      <c r="B152" s="1288"/>
      <c r="C152" s="1288"/>
      <c r="D152" s="1288"/>
      <c r="E152" s="1288"/>
      <c r="F152" s="1288"/>
      <c r="G152" s="1288"/>
      <c r="H152" s="1288"/>
      <c r="I152" s="1288"/>
      <c r="J152" s="1288"/>
      <c r="K152" s="1288"/>
      <c r="L152" s="1288"/>
      <c r="M152" s="1288"/>
      <c r="O152" s="1292"/>
      <c r="P152" s="1292"/>
      <c r="Q152" s="1292"/>
      <c r="R152" s="1292"/>
      <c r="S152" s="1292"/>
      <c r="T152" s="1292"/>
    </row>
    <row r="153" spans="1:20" s="1296" customFormat="1">
      <c r="A153" s="1288"/>
      <c r="B153" s="1288"/>
      <c r="C153" s="1288"/>
      <c r="D153" s="1288"/>
      <c r="E153" s="1288"/>
      <c r="F153" s="1288"/>
      <c r="G153" s="1288"/>
      <c r="H153" s="1288"/>
      <c r="I153" s="1288"/>
      <c r="J153" s="1288"/>
      <c r="K153" s="1288"/>
      <c r="L153" s="1288"/>
      <c r="M153" s="1288"/>
      <c r="O153" s="1292"/>
      <c r="P153" s="1292"/>
      <c r="Q153" s="1292"/>
      <c r="R153" s="1292"/>
      <c r="S153" s="1292"/>
      <c r="T153" s="1292"/>
    </row>
    <row r="154" spans="1:20" s="1296" customFormat="1">
      <c r="A154" s="1288"/>
      <c r="B154" s="1288"/>
      <c r="C154" s="1288"/>
      <c r="D154" s="1288"/>
      <c r="E154" s="1288"/>
      <c r="F154" s="1288"/>
      <c r="G154" s="1288"/>
      <c r="H154" s="1288"/>
      <c r="I154" s="1288"/>
      <c r="J154" s="1288"/>
      <c r="K154" s="1288"/>
      <c r="L154" s="1288"/>
      <c r="M154" s="1288"/>
      <c r="O154" s="1292"/>
      <c r="P154" s="1292"/>
      <c r="Q154" s="1292"/>
      <c r="R154" s="1292"/>
      <c r="S154" s="1292"/>
      <c r="T154" s="1292"/>
    </row>
    <row r="155" spans="1:20" s="1296" customFormat="1">
      <c r="A155" s="1288"/>
      <c r="B155" s="1288"/>
      <c r="C155" s="1288"/>
      <c r="D155" s="1288"/>
      <c r="E155" s="1288"/>
      <c r="F155" s="1288"/>
      <c r="G155" s="1288"/>
      <c r="H155" s="1288"/>
      <c r="I155" s="1288"/>
      <c r="J155" s="1288"/>
      <c r="K155" s="1288"/>
      <c r="L155" s="1288"/>
      <c r="M155" s="1288"/>
      <c r="O155" s="1292"/>
      <c r="P155" s="1292"/>
      <c r="Q155" s="1292"/>
      <c r="R155" s="1292"/>
      <c r="S155" s="1292"/>
      <c r="T155" s="1292"/>
    </row>
    <row r="156" spans="1:20" s="1296" customFormat="1">
      <c r="A156" s="1288"/>
      <c r="B156" s="1288"/>
      <c r="C156" s="1288"/>
      <c r="D156" s="1288"/>
      <c r="E156" s="1288"/>
      <c r="F156" s="1288"/>
      <c r="G156" s="1288"/>
      <c r="H156" s="1288"/>
      <c r="I156" s="1288"/>
      <c r="J156" s="1288"/>
      <c r="K156" s="1288"/>
      <c r="L156" s="1288"/>
      <c r="M156" s="1288"/>
      <c r="O156" s="1292"/>
      <c r="P156" s="1292"/>
      <c r="Q156" s="1292"/>
      <c r="R156" s="1292"/>
      <c r="S156" s="1292"/>
      <c r="T156" s="1292"/>
    </row>
    <row r="157" spans="1:20" s="1296" customFormat="1">
      <c r="A157" s="1288"/>
      <c r="B157" s="1288"/>
      <c r="C157" s="1288"/>
      <c r="D157" s="1288"/>
      <c r="E157" s="1288"/>
      <c r="F157" s="1288"/>
      <c r="G157" s="1288"/>
      <c r="H157" s="1288"/>
      <c r="I157" s="1288"/>
      <c r="J157" s="1288"/>
      <c r="K157" s="1288"/>
      <c r="L157" s="1288"/>
      <c r="M157" s="1288"/>
      <c r="O157" s="1292"/>
      <c r="P157" s="1292"/>
      <c r="Q157" s="1292"/>
      <c r="R157" s="1292"/>
      <c r="S157" s="1292"/>
      <c r="T157" s="1292"/>
    </row>
    <row r="158" spans="1:20" s="1296" customFormat="1">
      <c r="A158" s="1288"/>
      <c r="B158" s="1288"/>
      <c r="C158" s="1288"/>
      <c r="D158" s="1288"/>
      <c r="E158" s="1288"/>
      <c r="F158" s="1288"/>
      <c r="G158" s="1288"/>
      <c r="H158" s="1288"/>
      <c r="I158" s="1288"/>
      <c r="J158" s="1288"/>
      <c r="K158" s="1288"/>
      <c r="L158" s="1288"/>
      <c r="M158" s="1288"/>
      <c r="O158" s="1292"/>
      <c r="P158" s="1292"/>
      <c r="Q158" s="1292"/>
      <c r="R158" s="1292"/>
      <c r="S158" s="1292"/>
      <c r="T158" s="1292"/>
    </row>
    <row r="159" spans="1:20" s="1296" customFormat="1">
      <c r="A159" s="1288"/>
      <c r="B159" s="1288"/>
      <c r="C159" s="1288"/>
      <c r="D159" s="1288"/>
      <c r="E159" s="1288"/>
      <c r="F159" s="1288"/>
      <c r="G159" s="1288"/>
      <c r="H159" s="1288"/>
      <c r="I159" s="1288"/>
      <c r="J159" s="1288"/>
      <c r="K159" s="1288"/>
      <c r="L159" s="1288"/>
      <c r="M159" s="1288"/>
      <c r="O159" s="1292"/>
      <c r="P159" s="1292"/>
      <c r="Q159" s="1292"/>
      <c r="R159" s="1292"/>
      <c r="S159" s="1292"/>
      <c r="T159" s="1292"/>
    </row>
    <row r="160" spans="1:20" s="1296" customFormat="1">
      <c r="A160" s="1288"/>
      <c r="B160" s="1288"/>
      <c r="C160" s="1288"/>
      <c r="D160" s="1288"/>
      <c r="E160" s="1288"/>
      <c r="F160" s="1288"/>
      <c r="G160" s="1288"/>
      <c r="H160" s="1288"/>
      <c r="I160" s="1288"/>
      <c r="J160" s="1288"/>
      <c r="K160" s="1288"/>
      <c r="L160" s="1288"/>
      <c r="M160" s="1288"/>
      <c r="O160" s="1292"/>
      <c r="P160" s="1292"/>
      <c r="Q160" s="1292"/>
      <c r="R160" s="1292"/>
      <c r="S160" s="1292"/>
      <c r="T160" s="1292"/>
    </row>
    <row r="161" spans="1:20" s="1296" customFormat="1">
      <c r="A161" s="1288"/>
      <c r="B161" s="1288"/>
      <c r="C161" s="1288"/>
      <c r="D161" s="1288"/>
      <c r="E161" s="1288"/>
      <c r="F161" s="1288"/>
      <c r="G161" s="1288"/>
      <c r="H161" s="1288"/>
      <c r="I161" s="1288"/>
      <c r="J161" s="1288"/>
      <c r="K161" s="1288"/>
      <c r="L161" s="1288"/>
      <c r="M161" s="1288"/>
      <c r="O161" s="1292"/>
      <c r="P161" s="1292"/>
      <c r="Q161" s="1292"/>
      <c r="R161" s="1292"/>
      <c r="S161" s="1292"/>
      <c r="T161" s="1292"/>
    </row>
    <row r="162" spans="1:20" s="1296" customFormat="1">
      <c r="A162" s="1288"/>
      <c r="B162" s="1288"/>
      <c r="C162" s="1288"/>
      <c r="D162" s="1288"/>
      <c r="E162" s="1288"/>
      <c r="F162" s="1288"/>
      <c r="G162" s="1288"/>
      <c r="H162" s="1288"/>
      <c r="I162" s="1288"/>
      <c r="J162" s="1288"/>
      <c r="K162" s="1288"/>
      <c r="L162" s="1288"/>
      <c r="M162" s="1288"/>
      <c r="O162" s="1292"/>
      <c r="P162" s="1292"/>
      <c r="Q162" s="1292"/>
      <c r="R162" s="1292"/>
      <c r="S162" s="1292"/>
      <c r="T162" s="1292"/>
    </row>
    <row r="163" spans="1:20" s="1296" customFormat="1">
      <c r="A163" s="1288"/>
      <c r="B163" s="1288"/>
      <c r="C163" s="1288"/>
      <c r="D163" s="1288"/>
      <c r="E163" s="1288"/>
      <c r="F163" s="1288"/>
      <c r="G163" s="1288"/>
      <c r="H163" s="1288"/>
      <c r="I163" s="1288"/>
      <c r="J163" s="1288"/>
      <c r="K163" s="1288"/>
      <c r="L163" s="1288"/>
      <c r="M163" s="1288"/>
      <c r="O163" s="1292"/>
      <c r="P163" s="1292"/>
      <c r="Q163" s="1292"/>
      <c r="R163" s="1292"/>
      <c r="S163" s="1292"/>
      <c r="T163" s="1292"/>
    </row>
    <row r="164" spans="1:20" s="1296" customFormat="1">
      <c r="A164" s="1288"/>
      <c r="B164" s="1288"/>
      <c r="C164" s="1288"/>
      <c r="D164" s="1288"/>
      <c r="E164" s="1288"/>
      <c r="F164" s="1288"/>
      <c r="G164" s="1288"/>
      <c r="H164" s="1288"/>
      <c r="I164" s="1288"/>
      <c r="J164" s="1288"/>
      <c r="K164" s="1288"/>
      <c r="L164" s="1288"/>
      <c r="M164" s="1288"/>
      <c r="O164" s="1292"/>
      <c r="P164" s="1292"/>
      <c r="Q164" s="1292"/>
      <c r="R164" s="1292"/>
      <c r="S164" s="1292"/>
      <c r="T164" s="1292"/>
    </row>
    <row r="165" spans="1:20" s="1296" customFormat="1">
      <c r="A165" s="1288"/>
      <c r="B165" s="1288"/>
      <c r="C165" s="1288"/>
      <c r="D165" s="1288"/>
      <c r="E165" s="1288"/>
      <c r="F165" s="1288"/>
      <c r="G165" s="1288"/>
      <c r="H165" s="1288"/>
      <c r="I165" s="1288"/>
      <c r="J165" s="1288"/>
      <c r="K165" s="1288"/>
      <c r="L165" s="1288"/>
      <c r="M165" s="1288"/>
      <c r="O165" s="1292"/>
      <c r="P165" s="1292"/>
      <c r="Q165" s="1292"/>
      <c r="R165" s="1292"/>
      <c r="S165" s="1292"/>
      <c r="T165" s="1292"/>
    </row>
    <row r="166" spans="1:20" s="1296" customFormat="1">
      <c r="A166" s="1288"/>
      <c r="B166" s="1288"/>
      <c r="C166" s="1288"/>
      <c r="D166" s="1288"/>
      <c r="E166" s="1288"/>
      <c r="F166" s="1288"/>
      <c r="G166" s="1288"/>
      <c r="H166" s="1288"/>
      <c r="I166" s="1288"/>
      <c r="J166" s="1288"/>
      <c r="K166" s="1288"/>
      <c r="L166" s="1288"/>
      <c r="M166" s="1288"/>
      <c r="O166" s="1292"/>
      <c r="P166" s="1292"/>
      <c r="Q166" s="1292"/>
      <c r="R166" s="1292"/>
      <c r="S166" s="1292"/>
      <c r="T166" s="1292"/>
    </row>
    <row r="167" spans="1:20" s="1296" customFormat="1">
      <c r="A167" s="1288"/>
      <c r="B167" s="1288"/>
      <c r="C167" s="1288"/>
      <c r="D167" s="1288"/>
      <c r="E167" s="1288"/>
      <c r="F167" s="1288"/>
      <c r="G167" s="1288"/>
      <c r="H167" s="1288"/>
      <c r="I167" s="1288"/>
      <c r="J167" s="1288"/>
      <c r="K167" s="1288"/>
      <c r="L167" s="1288"/>
      <c r="M167" s="1288"/>
      <c r="O167" s="1292"/>
      <c r="P167" s="1292"/>
      <c r="Q167" s="1292"/>
      <c r="R167" s="1292"/>
      <c r="S167" s="1292"/>
      <c r="T167" s="1292"/>
    </row>
    <row r="168" spans="1:20" s="1296" customFormat="1">
      <c r="A168" s="1288"/>
      <c r="B168" s="1288"/>
      <c r="C168" s="1288"/>
      <c r="D168" s="1288"/>
      <c r="E168" s="1288"/>
      <c r="F168" s="1288"/>
      <c r="G168" s="1288"/>
      <c r="H168" s="1288"/>
      <c r="I168" s="1288"/>
      <c r="J168" s="1288"/>
      <c r="K168" s="1288"/>
      <c r="L168" s="1288"/>
      <c r="M168" s="1288"/>
      <c r="O168" s="1292"/>
      <c r="P168" s="1292"/>
      <c r="Q168" s="1292"/>
      <c r="R168" s="1292"/>
      <c r="S168" s="1292"/>
      <c r="T168" s="1292"/>
    </row>
    <row r="169" spans="1:20" s="1296" customFormat="1" ht="45">
      <c r="A169" s="1288"/>
      <c r="B169" s="1288"/>
      <c r="C169" s="1288"/>
      <c r="D169" s="1288"/>
      <c r="E169" s="1288"/>
      <c r="F169" s="1288"/>
      <c r="G169" s="1288" t="s">
        <v>191</v>
      </c>
      <c r="H169" s="1288"/>
      <c r="I169" s="1297" t="s">
        <v>192</v>
      </c>
      <c r="J169" s="1288"/>
      <c r="K169" s="1288"/>
      <c r="L169" s="1288"/>
      <c r="M169" s="1288"/>
      <c r="O169" s="1292"/>
      <c r="P169" s="1292"/>
      <c r="Q169" s="1292"/>
      <c r="R169" s="1292"/>
      <c r="S169" s="1292"/>
      <c r="T169" s="1292"/>
    </row>
    <row r="170" spans="1:20" s="1296" customFormat="1" ht="45">
      <c r="A170" s="1297" t="s">
        <v>193</v>
      </c>
      <c r="B170" s="1288"/>
      <c r="C170" s="1288"/>
      <c r="D170" s="1288"/>
      <c r="E170" s="1288"/>
      <c r="F170" s="1288"/>
      <c r="G170" s="1288"/>
      <c r="H170" s="1288"/>
      <c r="I170" s="1288"/>
      <c r="J170" s="1297"/>
      <c r="K170" s="1297"/>
      <c r="L170" s="1297"/>
      <c r="M170" s="1297"/>
      <c r="O170" s="1292"/>
      <c r="P170" s="1292"/>
      <c r="Q170" s="1292"/>
      <c r="R170" s="1292"/>
      <c r="S170" s="1292"/>
      <c r="T170" s="1292"/>
    </row>
    <row r="171" spans="1:20" ht="44.25">
      <c r="I171" s="519"/>
      <c r="J171" s="519"/>
      <c r="K171" s="519"/>
      <c r="L171" s="519"/>
      <c r="M171" s="519"/>
    </row>
    <row r="172" spans="1:20">
      <c r="D172" s="268"/>
      <c r="E172" s="268"/>
      <c r="F172" s="268"/>
      <c r="G172" s="268"/>
    </row>
    <row r="174" spans="1:20" ht="132" customHeight="1">
      <c r="A174" s="2009" t="s">
        <v>194</v>
      </c>
      <c r="B174" s="2009"/>
      <c r="C174" s="2009"/>
      <c r="D174" s="2009"/>
      <c r="E174" s="2009"/>
      <c r="F174" s="2009"/>
      <c r="G174" s="2009" t="s">
        <v>195</v>
      </c>
      <c r="H174" s="2009"/>
      <c r="I174" s="2009"/>
      <c r="J174" s="2009"/>
      <c r="K174" s="2009"/>
      <c r="L174" s="2009"/>
      <c r="M174" s="2009"/>
      <c r="N174" s="530"/>
      <c r="O174" s="1264"/>
    </row>
    <row r="182" spans="16:20">
      <c r="P182" s="318" t="s">
        <v>196</v>
      </c>
      <c r="Q182" s="319" t="s">
        <v>197</v>
      </c>
      <c r="R182" s="319" t="s">
        <v>198</v>
      </c>
      <c r="S182" s="319" t="s">
        <v>199</v>
      </c>
      <c r="T182" s="320" t="s">
        <v>200</v>
      </c>
    </row>
    <row r="183" spans="16:20">
      <c r="P183" s="321" t="s">
        <v>201</v>
      </c>
      <c r="Q183" s="322">
        <v>40909</v>
      </c>
      <c r="R183" s="322">
        <v>41639</v>
      </c>
      <c r="S183" s="322" t="s">
        <v>202</v>
      </c>
      <c r="T183" s="323">
        <v>181.34</v>
      </c>
    </row>
    <row r="184" spans="16:20">
      <c r="P184" s="321" t="s">
        <v>203</v>
      </c>
      <c r="Q184" s="322">
        <v>41640</v>
      </c>
      <c r="R184" s="322">
        <v>42735</v>
      </c>
      <c r="S184" s="322" t="s">
        <v>204</v>
      </c>
      <c r="T184" s="323">
        <v>201.34</v>
      </c>
    </row>
    <row r="185" spans="16:20">
      <c r="P185" s="321" t="s">
        <v>205</v>
      </c>
      <c r="Q185" s="322">
        <v>42736</v>
      </c>
      <c r="R185" s="322">
        <v>43131</v>
      </c>
      <c r="S185" s="322" t="s">
        <v>206</v>
      </c>
      <c r="T185" s="323">
        <v>216.38</v>
      </c>
    </row>
    <row r="186" spans="16:20">
      <c r="P186" s="321" t="s">
        <v>207</v>
      </c>
      <c r="Q186" s="322">
        <v>43132</v>
      </c>
      <c r="R186" s="322">
        <v>43921</v>
      </c>
      <c r="S186" s="322" t="s">
        <v>208</v>
      </c>
      <c r="T186" s="323">
        <v>220.38</v>
      </c>
    </row>
    <row r="187" spans="16:20">
      <c r="P187" s="321" t="s">
        <v>209</v>
      </c>
      <c r="Q187" s="322">
        <v>43922</v>
      </c>
      <c r="R187" s="322">
        <v>44561</v>
      </c>
      <c r="S187" s="322" t="s">
        <v>210</v>
      </c>
      <c r="T187" s="323">
        <v>237.38</v>
      </c>
    </row>
    <row r="188" spans="16:20">
      <c r="P188" s="321" t="s">
        <v>211</v>
      </c>
      <c r="Q188" s="322">
        <v>44562</v>
      </c>
      <c r="R188" s="322" t="s">
        <v>212</v>
      </c>
      <c r="S188" s="322" t="s">
        <v>213</v>
      </c>
      <c r="T188" s="323">
        <v>259.43</v>
      </c>
    </row>
    <row r="195" spans="2:18">
      <c r="B195" s="268"/>
      <c r="C195" s="268"/>
      <c r="D195" s="268"/>
      <c r="E195" s="268"/>
    </row>
    <row r="197" spans="2:18" ht="173.25" customHeight="1"/>
    <row r="198" spans="2:18" ht="155.25" customHeight="1"/>
    <row r="207" spans="2:18" ht="24" thickBot="1"/>
    <row r="208" spans="2:18" ht="24.75" thickTop="1" thickBot="1">
      <c r="P208" s="1238" t="s">
        <v>214</v>
      </c>
      <c r="Q208" s="1239">
        <f>+R208/1000000</f>
        <v>89.639951530000005</v>
      </c>
      <c r="R208" s="1240">
        <v>89639951.530000001</v>
      </c>
    </row>
    <row r="209" spans="1:20" ht="24.75" thickTop="1" thickBot="1">
      <c r="P209" s="1238" t="s">
        <v>215</v>
      </c>
      <c r="Q209" s="1239">
        <f>+R209/1000000</f>
        <v>47523.075413729995</v>
      </c>
      <c r="R209" s="1240">
        <v>47523075413.729996</v>
      </c>
    </row>
    <row r="210" spans="1:20" ht="24.75" thickTop="1" thickBot="1">
      <c r="P210" s="1238" t="s">
        <v>216</v>
      </c>
      <c r="Q210" s="1239">
        <f>+R210/1000000</f>
        <v>70397.902073009987</v>
      </c>
      <c r="R210" s="1241">
        <v>70397902073.009995</v>
      </c>
    </row>
    <row r="211" spans="1:20" ht="24.75" thickTop="1" thickBot="1">
      <c r="P211" s="1238" t="s">
        <v>217</v>
      </c>
      <c r="Q211" s="1239">
        <f>+R211/1000000</f>
        <v>133045.07545388001</v>
      </c>
      <c r="R211" s="1240">
        <v>133045075453.88</v>
      </c>
    </row>
    <row r="212" spans="1:20" ht="22.5" customHeight="1" thickTop="1"/>
    <row r="213" spans="1:20" ht="22.5" customHeight="1"/>
    <row r="214" spans="1:20" ht="22.5" customHeight="1"/>
    <row r="215" spans="1:20" ht="45">
      <c r="A215" s="311" t="s">
        <v>218</v>
      </c>
      <c r="G215" s="311"/>
    </row>
    <row r="216" spans="1:20">
      <c r="A216" s="268"/>
      <c r="H216" s="268"/>
    </row>
    <row r="217" spans="1:20" ht="92.25">
      <c r="A217" s="2012" t="s">
        <v>219</v>
      </c>
      <c r="B217" s="2012"/>
      <c r="C217" s="2012"/>
      <c r="D217" s="2012"/>
      <c r="E217" s="2012"/>
      <c r="F217" s="2012"/>
      <c r="G217" s="2012"/>
      <c r="H217" s="2012"/>
      <c r="I217" s="2012"/>
      <c r="J217" s="2012"/>
      <c r="K217" s="2012"/>
      <c r="L217" s="2012"/>
      <c r="M217" s="2013"/>
    </row>
    <row r="220" spans="1:20" s="520" customFormat="1" ht="60" customHeight="1">
      <c r="B220" s="2009" t="s">
        <v>220</v>
      </c>
      <c r="C220" s="2019"/>
      <c r="D220" s="2019"/>
      <c r="E220" s="2019"/>
      <c r="F220" s="2019"/>
      <c r="G220" s="2009" t="s">
        <v>221</v>
      </c>
      <c r="H220" s="2009"/>
      <c r="I220" s="2009"/>
      <c r="J220" s="2009"/>
      <c r="K220" s="2009"/>
      <c r="L220" s="2009"/>
      <c r="M220" s="2009"/>
      <c r="O220" s="81"/>
      <c r="P220" s="81"/>
      <c r="Q220" s="81"/>
      <c r="R220" s="81"/>
      <c r="S220" s="81"/>
      <c r="T220" s="81"/>
    </row>
    <row r="221" spans="1:20" customFormat="1">
      <c r="O221" s="81"/>
      <c r="P221" s="1236"/>
      <c r="Q221" s="1236"/>
      <c r="R221" s="1236"/>
      <c r="S221" s="81"/>
      <c r="T221" s="81"/>
    </row>
    <row r="222" spans="1:20" customFormat="1">
      <c r="O222" s="81"/>
      <c r="P222" s="1236"/>
      <c r="Q222" s="1236"/>
      <c r="R222" s="1236"/>
      <c r="S222" s="81"/>
      <c r="T222" s="81"/>
    </row>
    <row r="223" spans="1:20" customFormat="1">
      <c r="O223" s="81"/>
      <c r="P223" s="81"/>
      <c r="Q223" s="81"/>
      <c r="R223" s="81"/>
      <c r="S223" s="81"/>
      <c r="T223" s="81"/>
    </row>
    <row r="224" spans="1:20" customFormat="1">
      <c r="O224" s="81"/>
      <c r="P224" s="81"/>
      <c r="Q224" s="81"/>
      <c r="R224" s="81"/>
      <c r="S224" s="81"/>
      <c r="T224" s="81"/>
    </row>
    <row r="225" spans="15:20" customFormat="1">
      <c r="O225" s="81"/>
      <c r="P225" s="81"/>
      <c r="Q225" s="81"/>
      <c r="R225" s="81"/>
      <c r="S225" s="81"/>
      <c r="T225" s="81"/>
    </row>
    <row r="226" spans="15:20" customFormat="1">
      <c r="O226" s="81"/>
      <c r="P226" s="81"/>
      <c r="Q226" s="81"/>
      <c r="R226" s="81"/>
      <c r="S226" s="81"/>
      <c r="T226" s="81"/>
    </row>
    <row r="227" spans="15:20" customFormat="1" ht="42" customHeight="1">
      <c r="O227" s="81"/>
      <c r="P227" s="1236"/>
      <c r="Q227" s="1236"/>
      <c r="R227" s="1236"/>
      <c r="S227" s="81"/>
      <c r="T227" s="81"/>
    </row>
    <row r="228" spans="15:20" customFormat="1" ht="33" customHeight="1">
      <c r="O228" s="81"/>
      <c r="P228" s="1236"/>
      <c r="Q228" s="1236"/>
      <c r="R228" s="1236"/>
      <c r="S228" s="81"/>
      <c r="T228" s="81"/>
    </row>
    <row r="229" spans="15:20" customFormat="1" ht="33" customHeight="1">
      <c r="O229" s="81"/>
      <c r="P229" s="81"/>
      <c r="Q229" s="1236"/>
      <c r="R229" s="1236"/>
      <c r="S229" s="81"/>
      <c r="T229" s="81"/>
    </row>
    <row r="230" spans="15:20" customFormat="1" ht="33" customHeight="1">
      <c r="O230" s="81"/>
      <c r="P230" s="1236"/>
      <c r="Q230" s="1236"/>
      <c r="R230" s="1236"/>
      <c r="S230" s="81"/>
      <c r="T230" s="81"/>
    </row>
    <row r="231" spans="15:20" customFormat="1">
      <c r="O231" s="81"/>
      <c r="P231" s="1236"/>
      <c r="Q231" s="1236"/>
      <c r="R231" s="1236"/>
      <c r="S231" s="81"/>
      <c r="T231" s="81"/>
    </row>
    <row r="232" spans="15:20" customFormat="1" ht="33" customHeight="1">
      <c r="O232" s="81"/>
      <c r="P232" s="81"/>
      <c r="Q232" s="81"/>
      <c r="R232" s="81"/>
      <c r="S232" s="81"/>
      <c r="T232" s="81"/>
    </row>
    <row r="233" spans="15:20" customFormat="1" ht="33" customHeight="1">
      <c r="O233" s="81"/>
      <c r="P233" s="81"/>
      <c r="Q233" s="81"/>
      <c r="R233" s="81"/>
      <c r="S233" s="81"/>
      <c r="T233" s="81"/>
    </row>
    <row r="234" spans="15:20" customFormat="1">
      <c r="O234" s="81"/>
      <c r="P234" s="81"/>
      <c r="Q234" s="81"/>
      <c r="R234" s="81"/>
      <c r="S234" s="81"/>
      <c r="T234" s="81"/>
    </row>
    <row r="235" spans="15:20" customFormat="1">
      <c r="O235" s="81"/>
      <c r="P235" s="81"/>
      <c r="Q235" s="81"/>
      <c r="R235" s="81"/>
      <c r="S235" s="81"/>
      <c r="T235" s="81"/>
    </row>
    <row r="236" spans="15:20" customFormat="1">
      <c r="O236" s="81"/>
      <c r="P236" s="81"/>
      <c r="Q236" s="81"/>
      <c r="R236" s="81"/>
      <c r="S236" s="81"/>
      <c r="T236" s="81"/>
    </row>
    <row r="237" spans="15:20" customFormat="1">
      <c r="O237" s="81"/>
      <c r="P237" s="81"/>
      <c r="Q237" s="81"/>
      <c r="R237" s="81"/>
      <c r="S237" s="81"/>
      <c r="T237" s="81"/>
    </row>
    <row r="238" spans="15:20" customFormat="1">
      <c r="O238" s="81"/>
      <c r="P238" s="81"/>
      <c r="Q238" s="81"/>
      <c r="R238" s="81"/>
      <c r="S238" s="81"/>
      <c r="T238" s="81"/>
    </row>
    <row r="239" spans="15:20" customFormat="1">
      <c r="O239" s="81"/>
      <c r="P239" s="81"/>
      <c r="Q239" s="81"/>
      <c r="R239" s="81"/>
      <c r="S239" s="81"/>
      <c r="T239" s="81"/>
    </row>
    <row r="240" spans="15:20" customFormat="1">
      <c r="O240" s="81"/>
      <c r="P240" s="81"/>
      <c r="Q240" s="81"/>
      <c r="R240" s="81"/>
      <c r="S240" s="81"/>
      <c r="T240" s="81"/>
    </row>
    <row r="241" spans="15:20" customFormat="1">
      <c r="O241" s="81"/>
      <c r="P241" s="81"/>
      <c r="Q241" s="81"/>
      <c r="R241" s="81"/>
      <c r="S241" s="81"/>
      <c r="T241" s="81"/>
    </row>
    <row r="242" spans="15:20" customFormat="1">
      <c r="O242" s="81"/>
      <c r="P242" s="81"/>
      <c r="Q242" s="81"/>
      <c r="R242" s="81"/>
      <c r="S242" s="81"/>
      <c r="T242" s="81"/>
    </row>
    <row r="243" spans="15:20" customFormat="1">
      <c r="O243" s="81"/>
      <c r="P243" s="81"/>
      <c r="Q243" s="81"/>
      <c r="R243" s="81"/>
      <c r="S243" s="81"/>
      <c r="T243" s="81"/>
    </row>
    <row r="244" spans="15:20" customFormat="1">
      <c r="O244" s="81"/>
      <c r="P244" s="81"/>
      <c r="Q244" s="81"/>
      <c r="R244" s="81"/>
      <c r="S244" s="81"/>
      <c r="T244" s="81"/>
    </row>
    <row r="245" spans="15:20" customFormat="1">
      <c r="O245" s="81"/>
      <c r="P245" s="81"/>
      <c r="Q245" s="81"/>
      <c r="R245" s="81"/>
      <c r="S245" s="81"/>
      <c r="T245" s="81"/>
    </row>
    <row r="246" spans="15:20" customFormat="1">
      <c r="O246" s="81"/>
      <c r="P246" s="81"/>
      <c r="Q246" s="81"/>
      <c r="R246" s="81"/>
      <c r="S246" s="81"/>
      <c r="T246" s="81"/>
    </row>
    <row r="247" spans="15:20" customFormat="1">
      <c r="O247" s="81"/>
      <c r="P247" s="81"/>
      <c r="Q247" s="81"/>
      <c r="R247" s="81"/>
      <c r="S247" s="81"/>
      <c r="T247" s="81"/>
    </row>
    <row r="248" spans="15:20" customFormat="1">
      <c r="O248" s="81"/>
      <c r="P248" s="81"/>
      <c r="Q248" s="81"/>
      <c r="R248" s="81"/>
      <c r="S248" s="81"/>
      <c r="T248" s="81"/>
    </row>
    <row r="249" spans="15:20" customFormat="1" ht="164.25" customHeight="1">
      <c r="O249" s="81"/>
      <c r="P249" s="81"/>
      <c r="Q249" s="81"/>
      <c r="R249" s="81"/>
      <c r="S249" s="81"/>
      <c r="T249" s="81"/>
    </row>
    <row r="250" spans="15:20" customFormat="1">
      <c r="O250" s="81"/>
      <c r="P250" s="81"/>
      <c r="Q250" s="81"/>
      <c r="R250" s="81"/>
      <c r="S250" s="81"/>
      <c r="T250" s="81"/>
    </row>
    <row r="251" spans="15:20" customFormat="1">
      <c r="O251" s="81"/>
      <c r="P251" s="81"/>
      <c r="Q251" s="81"/>
      <c r="R251" s="81"/>
      <c r="S251" s="81"/>
      <c r="T251" s="81"/>
    </row>
    <row r="252" spans="15:20" customFormat="1">
      <c r="O252" s="81"/>
      <c r="P252" s="81"/>
      <c r="Q252" s="81"/>
      <c r="R252" s="81"/>
      <c r="S252" s="81"/>
      <c r="T252" s="81"/>
    </row>
    <row r="253" spans="15:20" customFormat="1">
      <c r="O253" s="81"/>
      <c r="P253" s="81"/>
      <c r="Q253" s="81"/>
      <c r="R253" s="81"/>
      <c r="S253" s="81"/>
      <c r="T253" s="81"/>
    </row>
    <row r="254" spans="15:20" customFormat="1">
      <c r="O254" s="81"/>
      <c r="P254" s="81"/>
      <c r="Q254" s="81"/>
      <c r="R254" s="81"/>
      <c r="S254" s="81"/>
      <c r="T254" s="81"/>
    </row>
    <row r="255" spans="15:20" customFormat="1">
      <c r="O255" s="81"/>
      <c r="P255" s="81"/>
      <c r="Q255" s="81"/>
      <c r="R255" s="81"/>
      <c r="S255" s="81"/>
      <c r="T255" s="81"/>
    </row>
    <row r="256" spans="15:20" customFormat="1">
      <c r="O256" s="81"/>
      <c r="P256" s="81"/>
      <c r="Q256" s="81"/>
      <c r="R256" s="81"/>
      <c r="S256" s="81"/>
      <c r="T256" s="81"/>
    </row>
    <row r="257" spans="1:20" customFormat="1">
      <c r="O257" s="81"/>
      <c r="P257" s="81"/>
      <c r="Q257" s="81"/>
      <c r="R257" s="81"/>
      <c r="S257" s="81"/>
      <c r="T257" s="81"/>
    </row>
    <row r="258" spans="1:20" customFormat="1">
      <c r="O258" s="81"/>
      <c r="P258" s="81"/>
      <c r="Q258" s="81"/>
      <c r="R258" s="81"/>
      <c r="S258" s="81"/>
      <c r="T258" s="81"/>
    </row>
    <row r="259" spans="1:20" customFormat="1">
      <c r="O259" s="81"/>
      <c r="P259" s="81"/>
      <c r="Q259" s="81"/>
      <c r="R259" s="81"/>
      <c r="S259" s="81"/>
      <c r="T259" s="81"/>
    </row>
    <row r="260" spans="1:20" customFormat="1">
      <c r="O260" s="81"/>
      <c r="P260" s="81"/>
      <c r="Q260" s="81"/>
      <c r="R260" s="81"/>
      <c r="S260" s="81"/>
      <c r="T260" s="81"/>
    </row>
    <row r="261" spans="1:20" customFormat="1">
      <c r="O261" s="81"/>
      <c r="P261" s="81"/>
      <c r="Q261" s="81"/>
      <c r="R261" s="81"/>
      <c r="S261" s="81"/>
      <c r="T261" s="81"/>
    </row>
    <row r="262" spans="1:20" customFormat="1" ht="74.25" customHeight="1">
      <c r="A262" s="2018" t="s">
        <v>222</v>
      </c>
      <c r="B262" s="2018"/>
      <c r="C262" s="2018"/>
      <c r="D262" s="2018"/>
      <c r="E262" s="2018"/>
      <c r="F262" s="2018"/>
      <c r="G262" s="2020" t="s">
        <v>223</v>
      </c>
      <c r="H262" s="2020"/>
      <c r="I262" s="2020"/>
      <c r="J262" s="2020"/>
      <c r="K262" s="2020"/>
      <c r="L262" s="2020"/>
      <c r="M262" s="2020"/>
      <c r="O262" s="81"/>
      <c r="P262" s="81"/>
      <c r="Q262" s="81"/>
      <c r="R262" s="81"/>
      <c r="S262" s="81"/>
      <c r="T262" s="81"/>
    </row>
    <row r="263" spans="1:20" customFormat="1">
      <c r="O263" s="81"/>
      <c r="P263" s="81"/>
      <c r="Q263" s="81"/>
      <c r="R263" s="81"/>
      <c r="S263" s="81"/>
      <c r="T263" s="81"/>
    </row>
    <row r="264" spans="1:20" customFormat="1" ht="153" customHeight="1">
      <c r="O264" s="81"/>
      <c r="P264" s="81"/>
      <c r="Q264" s="81"/>
      <c r="R264" s="81"/>
      <c r="S264" s="81"/>
      <c r="T264" s="81"/>
    </row>
    <row r="265" spans="1:20" customFormat="1">
      <c r="O265" s="81"/>
      <c r="P265" s="81"/>
      <c r="Q265" s="81"/>
      <c r="R265" s="81"/>
      <c r="S265" s="81"/>
      <c r="T265" s="81"/>
    </row>
    <row r="266" spans="1:20" customFormat="1" ht="110.25" customHeight="1">
      <c r="O266" s="81"/>
      <c r="P266" s="81"/>
      <c r="Q266" s="81"/>
      <c r="R266" s="81"/>
      <c r="S266" s="81"/>
      <c r="T266" s="81"/>
    </row>
    <row r="267" spans="1:20" customFormat="1">
      <c r="O267" s="81"/>
      <c r="P267" s="81"/>
      <c r="Q267" s="81"/>
      <c r="R267" s="81"/>
      <c r="S267" s="81"/>
      <c r="T267" s="81"/>
    </row>
    <row r="268" spans="1:20" customFormat="1">
      <c r="O268" s="81"/>
      <c r="P268" s="81"/>
      <c r="Q268" s="81"/>
      <c r="R268" s="81"/>
      <c r="S268" s="81"/>
      <c r="T268" s="81"/>
    </row>
    <row r="269" spans="1:20" customFormat="1">
      <c r="O269" s="81"/>
      <c r="P269" s="81"/>
      <c r="Q269" s="81"/>
      <c r="R269" s="81"/>
      <c r="S269" s="81"/>
      <c r="T269" s="81"/>
    </row>
    <row r="272" spans="1:20" ht="124.5" customHeight="1"/>
    <row r="273" ht="124.5" customHeight="1"/>
    <row r="274" ht="256.5" customHeight="1"/>
    <row r="283" ht="136.5" customHeight="1"/>
  </sheetData>
  <sortState xmlns:xlrd2="http://schemas.microsoft.com/office/spreadsheetml/2017/richdata2" ref="P236:R240">
    <sortCondition ref="R236:R240"/>
  </sortState>
  <mergeCells count="24">
    <mergeCell ref="J127:L127"/>
    <mergeCell ref="A217:M217"/>
    <mergeCell ref="A126:G126"/>
    <mergeCell ref="A174:F174"/>
    <mergeCell ref="A262:F262"/>
    <mergeCell ref="B220:F220"/>
    <mergeCell ref="H126:M126"/>
    <mergeCell ref="G174:M174"/>
    <mergeCell ref="G262:M262"/>
    <mergeCell ref="G220:M220"/>
    <mergeCell ref="H94:M94"/>
    <mergeCell ref="A1:M1"/>
    <mergeCell ref="F7:M7"/>
    <mergeCell ref="A123:M123"/>
    <mergeCell ref="F9:I9"/>
    <mergeCell ref="A3:M3"/>
    <mergeCell ref="A7:E7"/>
    <mergeCell ref="A24:F24"/>
    <mergeCell ref="A60:F60"/>
    <mergeCell ref="A94:G94"/>
    <mergeCell ref="G24:M24"/>
    <mergeCell ref="G60:M60"/>
    <mergeCell ref="G90:L90"/>
    <mergeCell ref="G118:H118"/>
  </mergeCells>
  <pageMargins left="0.70866141732283472" right="0.70866141732283472" top="0.74803149606299213" bottom="0.74803149606299213" header="0.31496062992125984" footer="0.31496062992125984"/>
  <pageSetup paperSize="9" scale="12" fitToHeight="0" orientation="portrait" r:id="rId1"/>
  <rowBreaks count="2" manualBreakCount="2">
    <brk id="122" max="12" man="1"/>
    <brk id="303" max="1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0">
    <tabColor rgb="FF0070C0"/>
    <pageSetUpPr fitToPage="1"/>
  </sheetPr>
  <dimension ref="B1:O55"/>
  <sheetViews>
    <sheetView showGridLines="0" view="pageBreakPreview" zoomScale="40" zoomScaleNormal="70" zoomScaleSheetLayoutView="40" workbookViewId="0">
      <pane xSplit="1" ySplit="2" topLeftCell="B11" activePane="bottomRight" state="frozen"/>
      <selection pane="bottomRight" activeCell="E22" sqref="E22"/>
      <selection pane="bottomLeft" activeCell="A3" sqref="A3"/>
      <selection pane="topRight" activeCell="B1" sqref="B1"/>
    </sheetView>
  </sheetViews>
  <sheetFormatPr defaultColWidth="11.42578125" defaultRowHeight="14.25"/>
  <cols>
    <col min="1" max="1" width="0.5703125" style="307" customWidth="1"/>
    <col min="2" max="2" width="23.140625" style="307" customWidth="1"/>
    <col min="3" max="4" width="27.140625" style="307" customWidth="1"/>
    <col min="5" max="5" width="27" style="307" customWidth="1"/>
    <col min="6" max="8" width="32" style="307" customWidth="1"/>
    <col min="9" max="9" width="20.7109375" style="307" customWidth="1"/>
    <col min="10" max="10" width="20.7109375" style="961" customWidth="1"/>
    <col min="11" max="11" width="26.140625" style="961" customWidth="1"/>
    <col min="12" max="12" width="20.7109375" style="961" customWidth="1"/>
    <col min="13" max="13" width="9.5703125" style="961" customWidth="1"/>
    <col min="14" max="15" width="11.42578125" style="307"/>
    <col min="16" max="16" width="12.5703125" style="307" bestFit="1" customWidth="1"/>
    <col min="17" max="17" width="13.140625" style="307" bestFit="1" customWidth="1"/>
    <col min="18" max="18" width="12.85546875" style="307" bestFit="1" customWidth="1"/>
    <col min="19" max="19" width="13.42578125" style="307" bestFit="1" customWidth="1"/>
    <col min="20" max="20" width="14" style="307" bestFit="1" customWidth="1"/>
    <col min="21" max="21" width="13.5703125" style="307" bestFit="1" customWidth="1"/>
    <col min="22" max="22" width="13" style="307" bestFit="1" customWidth="1"/>
    <col min="23" max="16384" width="11.42578125" style="307"/>
  </cols>
  <sheetData>
    <row r="1" spans="2:13" s="960" customFormat="1" ht="65.25" customHeight="1">
      <c r="B1" s="2119" t="s">
        <v>672</v>
      </c>
      <c r="C1" s="2119"/>
      <c r="D1" s="2119"/>
      <c r="E1" s="2119"/>
      <c r="F1" s="2119"/>
      <c r="G1" s="2119"/>
      <c r="H1" s="2119"/>
      <c r="I1" s="2119"/>
      <c r="J1" s="2119"/>
      <c r="K1" s="2119"/>
      <c r="L1" s="2119"/>
      <c r="M1" s="2119"/>
    </row>
    <row r="2" spans="2:13" s="960" customFormat="1" ht="37.5" customHeight="1">
      <c r="B2" s="2172" t="str">
        <f>+'Resumen '!O4</f>
        <v>Período:  Diciembre 2008 - Abril 2025</v>
      </c>
      <c r="C2" s="2172"/>
      <c r="D2" s="2172"/>
      <c r="E2" s="2172"/>
      <c r="F2" s="2172"/>
      <c r="G2" s="2172"/>
      <c r="H2" s="2172"/>
      <c r="I2" s="2172"/>
      <c r="J2" s="2172"/>
      <c r="K2" s="2172"/>
      <c r="L2" s="2172"/>
      <c r="M2" s="2172"/>
    </row>
    <row r="3" spans="2:13" ht="19.5" customHeight="1">
      <c r="B3" s="307" t="s">
        <v>501</v>
      </c>
    </row>
    <row r="4" spans="2:13" s="955" customFormat="1" ht="60" customHeight="1">
      <c r="B4" s="789" t="s">
        <v>673</v>
      </c>
      <c r="C4" s="903" t="s">
        <v>674</v>
      </c>
      <c r="D4" s="904" t="s">
        <v>675</v>
      </c>
      <c r="E4" s="903" t="s">
        <v>676</v>
      </c>
      <c r="F4" s="903" t="s">
        <v>677</v>
      </c>
      <c r="G4" s="903" t="s">
        <v>678</v>
      </c>
      <c r="H4" s="905" t="s">
        <v>679</v>
      </c>
      <c r="J4" s="962"/>
      <c r="K4" s="962"/>
      <c r="L4" s="962"/>
      <c r="M4" s="962"/>
    </row>
    <row r="5" spans="2:13" s="955" customFormat="1" ht="28.5" customHeight="1">
      <c r="B5" s="950">
        <v>39783</v>
      </c>
      <c r="C5" s="951">
        <v>1165631</v>
      </c>
      <c r="D5" s="951">
        <v>818089</v>
      </c>
      <c r="E5" s="952">
        <f>+Tabla63[[#This Row],[Afiliados Femeninos]]+Tabla63[[#This Row],[Afiliados Masculino]]</f>
        <v>1983720</v>
      </c>
      <c r="F5" s="951">
        <v>634008</v>
      </c>
      <c r="G5" s="951">
        <v>484285</v>
      </c>
      <c r="H5" s="953">
        <f>+Tabla63[[#This Row],[Cotizantes Femenino ]]+Tabla63[[#This Row],[Cotizantes Masculinos]]</f>
        <v>1118293</v>
      </c>
      <c r="I5" s="954"/>
      <c r="J5" s="962"/>
      <c r="K5" s="962"/>
      <c r="L5" s="962"/>
      <c r="M5" s="962"/>
    </row>
    <row r="6" spans="2:13" s="955" customFormat="1" ht="28.5" customHeight="1">
      <c r="B6" s="950">
        <v>40148</v>
      </c>
      <c r="C6" s="951">
        <v>1281904</v>
      </c>
      <c r="D6" s="951">
        <v>911986</v>
      </c>
      <c r="E6" s="952">
        <f>+Tabla63[[#This Row],[Afiliados Femeninos]]+Tabla63[[#This Row],[Afiliados Masculino]]</f>
        <v>2193890</v>
      </c>
      <c r="F6" s="951">
        <v>675015</v>
      </c>
      <c r="G6" s="951">
        <v>514586</v>
      </c>
      <c r="H6" s="953">
        <f>+Tabla63[[#This Row],[Cotizantes Femenino ]]+Tabla63[[#This Row],[Cotizantes Masculinos]]</f>
        <v>1189601</v>
      </c>
      <c r="I6" s="954"/>
      <c r="J6" s="962"/>
      <c r="K6" s="962"/>
      <c r="L6" s="962"/>
      <c r="M6" s="962"/>
    </row>
    <row r="7" spans="2:13" s="955" customFormat="1" ht="28.5" customHeight="1">
      <c r="B7" s="950">
        <v>40513</v>
      </c>
      <c r="C7" s="951">
        <v>1383536</v>
      </c>
      <c r="D7" s="951">
        <v>991247</v>
      </c>
      <c r="E7" s="952">
        <f>+Tabla63[[#This Row],[Afiliados Femeninos]]+Tabla63[[#This Row],[Afiliados Masculino]]</f>
        <v>2374783</v>
      </c>
      <c r="F7" s="951">
        <v>702422</v>
      </c>
      <c r="G7" s="951">
        <v>540358</v>
      </c>
      <c r="H7" s="953">
        <f>+Tabla63[[#This Row],[Cotizantes Femenino ]]+Tabla63[[#This Row],[Cotizantes Masculinos]]</f>
        <v>1242780</v>
      </c>
      <c r="I7" s="954"/>
      <c r="J7" s="962"/>
      <c r="K7" s="962"/>
      <c r="L7" s="962"/>
      <c r="M7" s="962"/>
    </row>
    <row r="8" spans="2:13" s="955" customFormat="1" ht="28.5" customHeight="1">
      <c r="B8" s="950">
        <v>40878</v>
      </c>
      <c r="C8" s="951">
        <v>1480731</v>
      </c>
      <c r="D8" s="951">
        <v>1072243</v>
      </c>
      <c r="E8" s="952">
        <f>+Tabla63[[#This Row],[Afiliados Femeninos]]+Tabla63[[#This Row],[Afiliados Masculino]]</f>
        <v>2552974</v>
      </c>
      <c r="F8" s="951">
        <v>726141</v>
      </c>
      <c r="G8" s="951">
        <v>564996</v>
      </c>
      <c r="H8" s="953">
        <f>+Tabla63[[#This Row],[Cotizantes Femenino ]]+Tabla63[[#This Row],[Cotizantes Masculinos]]</f>
        <v>1291137</v>
      </c>
      <c r="I8" s="954"/>
      <c r="J8" s="962"/>
      <c r="K8" s="962"/>
      <c r="L8" s="962"/>
      <c r="M8" s="962"/>
    </row>
    <row r="9" spans="2:13" s="955" customFormat="1" ht="28.5" customHeight="1">
      <c r="B9" s="950">
        <v>41244</v>
      </c>
      <c r="C9" s="951">
        <v>1570504</v>
      </c>
      <c r="D9" s="951">
        <v>1143945</v>
      </c>
      <c r="E9" s="952">
        <f>+Tabla63[[#This Row],[Afiliados Femeninos]]+Tabla63[[#This Row],[Afiliados Masculino]]</f>
        <v>2714449</v>
      </c>
      <c r="F9" s="951">
        <v>770060</v>
      </c>
      <c r="G9" s="951">
        <v>606906</v>
      </c>
      <c r="H9" s="953">
        <f>+Tabla63[[#This Row],[Cotizantes Femenino ]]+Tabla63[[#This Row],[Cotizantes Masculinos]]</f>
        <v>1376966</v>
      </c>
      <c r="I9" s="954"/>
      <c r="J9" s="962"/>
      <c r="K9" s="962"/>
      <c r="L9" s="962"/>
      <c r="M9" s="962"/>
    </row>
    <row r="10" spans="2:13" s="955" customFormat="1" ht="28.5" customHeight="1">
      <c r="B10" s="950">
        <v>41609</v>
      </c>
      <c r="C10" s="951">
        <v>1661097</v>
      </c>
      <c r="D10" s="951">
        <v>1220033</v>
      </c>
      <c r="E10" s="952">
        <f>+Tabla63[[#This Row],[Afiliados Femeninos]]+Tabla63[[#This Row],[Afiliados Masculino]]</f>
        <v>2881130</v>
      </c>
      <c r="F10" s="951">
        <v>835620</v>
      </c>
      <c r="G10" s="951">
        <v>672772</v>
      </c>
      <c r="H10" s="953">
        <f>+Tabla63[[#This Row],[Cotizantes Femenino ]]+Tabla63[[#This Row],[Cotizantes Masculinos]]</f>
        <v>1508392</v>
      </c>
      <c r="I10" s="954"/>
      <c r="J10" s="962"/>
      <c r="K10" s="962"/>
      <c r="L10" s="962"/>
      <c r="M10" s="962"/>
    </row>
    <row r="11" spans="2:13" s="955" customFormat="1" ht="28.5" customHeight="1">
      <c r="B11" s="950">
        <v>41974</v>
      </c>
      <c r="C11" s="951">
        <v>1759926</v>
      </c>
      <c r="D11" s="951">
        <v>1309974</v>
      </c>
      <c r="E11" s="952">
        <f>+Tabla63[[#This Row],[Afiliados Femeninos]]+Tabla63[[#This Row],[Afiliados Masculino]]</f>
        <v>3069900</v>
      </c>
      <c r="F11" s="951">
        <v>892937</v>
      </c>
      <c r="G11" s="951">
        <v>724170</v>
      </c>
      <c r="H11" s="953">
        <f>+Tabla63[[#This Row],[Cotizantes Femenino ]]+Tabla63[[#This Row],[Cotizantes Masculinos]]</f>
        <v>1617107</v>
      </c>
      <c r="J11" s="962"/>
      <c r="K11" s="962"/>
      <c r="L11" s="962"/>
      <c r="M11" s="962"/>
    </row>
    <row r="12" spans="2:13" s="955" customFormat="1" ht="28.5" customHeight="1">
      <c r="B12" s="950">
        <v>42339</v>
      </c>
      <c r="C12" s="951">
        <v>1864734</v>
      </c>
      <c r="D12" s="951">
        <v>1405023</v>
      </c>
      <c r="E12" s="952">
        <f>+Tabla63[[#This Row],[Afiliados Femeninos]]+Tabla63[[#This Row],[Afiliados Masculino]]</f>
        <v>3269757</v>
      </c>
      <c r="F12" s="951">
        <v>958167</v>
      </c>
      <c r="G12" s="951">
        <v>767635</v>
      </c>
      <c r="H12" s="953">
        <f>+Tabla63[[#This Row],[Cotizantes Femenino ]]+Tabla63[[#This Row],[Cotizantes Masculinos]]</f>
        <v>1725802</v>
      </c>
      <c r="J12" s="962"/>
      <c r="K12" s="962"/>
      <c r="L12" s="962"/>
      <c r="M12" s="962"/>
    </row>
    <row r="13" spans="2:13" s="955" customFormat="1" ht="28.5" customHeight="1">
      <c r="B13" s="950">
        <v>42720</v>
      </c>
      <c r="C13" s="951">
        <v>1974015</v>
      </c>
      <c r="D13" s="951">
        <v>1499879</v>
      </c>
      <c r="E13" s="952">
        <f>+Tabla63[[#This Row],[Afiliados Femeninos]]+Tabla63[[#This Row],[Afiliados Masculino]]</f>
        <v>3473894</v>
      </c>
      <c r="F13" s="951">
        <v>1021381</v>
      </c>
      <c r="G13" s="951">
        <v>815723</v>
      </c>
      <c r="H13" s="953">
        <f>+Tabla63[[#This Row],[Cotizantes Femenino ]]+Tabla63[[#This Row],[Cotizantes Masculinos]]</f>
        <v>1837104</v>
      </c>
      <c r="J13" s="962"/>
      <c r="K13" s="962"/>
      <c r="L13" s="962"/>
      <c r="M13" s="962"/>
    </row>
    <row r="14" spans="2:13" s="955" customFormat="1" ht="28.5" customHeight="1">
      <c r="B14" s="950" t="s">
        <v>680</v>
      </c>
      <c r="C14" s="951">
        <v>2098283</v>
      </c>
      <c r="D14" s="951">
        <v>1605072</v>
      </c>
      <c r="E14" s="952">
        <f>+Tabla63[[#This Row],[Afiliados Femeninos]]+Tabla63[[#This Row],[Afiliados Masculino]]</f>
        <v>3703355</v>
      </c>
      <c r="F14" s="951">
        <v>1067270</v>
      </c>
      <c r="G14" s="951">
        <v>868698</v>
      </c>
      <c r="H14" s="953">
        <f>+Tabla63[[#This Row],[Cotizantes Femenino ]]+Tabla63[[#This Row],[Cotizantes Masculinos]]</f>
        <v>1935968</v>
      </c>
      <c r="J14" s="962"/>
      <c r="K14" s="962"/>
      <c r="L14" s="962"/>
      <c r="M14" s="962"/>
    </row>
    <row r="15" spans="2:13" s="955" customFormat="1" ht="28.5" customHeight="1">
      <c r="B15" s="950">
        <v>43452</v>
      </c>
      <c r="C15" s="951">
        <v>2212375</v>
      </c>
      <c r="D15" s="951">
        <v>1707568</v>
      </c>
      <c r="E15" s="952">
        <f>+Tabla63[[#This Row],[Afiliados Femeninos]]+Tabla63[[#This Row],[Afiliados Masculino]]</f>
        <v>3919943</v>
      </c>
      <c r="F15" s="951">
        <v>1041450</v>
      </c>
      <c r="G15" s="951">
        <v>883469</v>
      </c>
      <c r="H15" s="953">
        <f>+Tabla63[[#This Row],[Cotizantes Femenino ]]+Tabla63[[#This Row],[Cotizantes Masculinos]]</f>
        <v>1924919</v>
      </c>
      <c r="J15" s="962"/>
      <c r="K15" s="962"/>
      <c r="L15" s="962"/>
      <c r="M15" s="962"/>
    </row>
    <row r="16" spans="2:13" s="955" customFormat="1" ht="28.5" customHeight="1">
      <c r="B16" s="950">
        <v>43817</v>
      </c>
      <c r="C16" s="951">
        <v>2321656</v>
      </c>
      <c r="D16" s="951">
        <v>1811487</v>
      </c>
      <c r="E16" s="952">
        <f>+Tabla63[[#This Row],[Afiliados Femeninos]]+Tabla63[[#This Row],[Afiliados Masculino]]</f>
        <v>4133143</v>
      </c>
      <c r="F16" s="951">
        <v>1041450</v>
      </c>
      <c r="G16" s="951">
        <v>883469</v>
      </c>
      <c r="H16" s="953">
        <f>+Tabla63[[#This Row],[Cotizantes Femenino ]]+Tabla63[[#This Row],[Cotizantes Masculinos]]</f>
        <v>1924919</v>
      </c>
      <c r="J16" s="962"/>
      <c r="K16" s="962"/>
      <c r="L16" s="962"/>
      <c r="M16" s="962"/>
    </row>
    <row r="17" spans="2:15" s="955" customFormat="1" ht="28.5" customHeight="1">
      <c r="B17" s="950">
        <v>44183</v>
      </c>
      <c r="C17" s="951">
        <v>2404153</v>
      </c>
      <c r="D17" s="951">
        <v>1891266</v>
      </c>
      <c r="E17" s="952">
        <f>+Tabla63[[#This Row],[Afiliados Femeninos]]+Tabla63[[#This Row],[Afiliados Masculino]]</f>
        <v>4295419</v>
      </c>
      <c r="F17" s="951">
        <v>927727</v>
      </c>
      <c r="G17" s="951">
        <v>819713</v>
      </c>
      <c r="H17" s="953">
        <f>+Tabla63[[#This Row],[Cotizantes Femenino ]]+Tabla63[[#This Row],[Cotizantes Masculinos]]</f>
        <v>1747440</v>
      </c>
      <c r="J17" s="962"/>
      <c r="K17" s="962"/>
      <c r="L17" s="962"/>
      <c r="M17" s="962"/>
    </row>
    <row r="18" spans="2:15" s="955" customFormat="1" ht="28.5" customHeight="1">
      <c r="B18" s="950">
        <v>44548</v>
      </c>
      <c r="C18" s="951">
        <v>2502520</v>
      </c>
      <c r="D18" s="951">
        <v>2009454</v>
      </c>
      <c r="E18" s="952">
        <f>+Tabla63[[#This Row],[Afiliados Femeninos]]+Tabla63[[#This Row],[Afiliados Masculino]]</f>
        <v>4511974</v>
      </c>
      <c r="F18" s="951">
        <v>927727</v>
      </c>
      <c r="G18" s="951">
        <v>819713</v>
      </c>
      <c r="H18" s="953">
        <f>+Tabla63[[#This Row],[Cotizantes Femenino ]]+Tabla63[[#This Row],[Cotizantes Masculinos]]</f>
        <v>1747440</v>
      </c>
      <c r="L18" s="962"/>
      <c r="M18" s="962"/>
    </row>
    <row r="19" spans="2:15" s="955" customFormat="1" ht="28.5" customHeight="1">
      <c r="B19" s="956">
        <v>44913</v>
      </c>
      <c r="C19" s="957">
        <v>2631139</v>
      </c>
      <c r="D19" s="957">
        <v>2157720</v>
      </c>
      <c r="E19" s="952">
        <f>+Tabla63[[#This Row],[Afiliados Femeninos]]+Tabla63[[#This Row],[Afiliados Masculino]]</f>
        <v>4788859</v>
      </c>
      <c r="F19" s="957">
        <v>1055375</v>
      </c>
      <c r="G19" s="957">
        <v>965622</v>
      </c>
      <c r="H19" s="958">
        <v>2020997</v>
      </c>
      <c r="J19" s="962"/>
      <c r="K19" s="962"/>
      <c r="L19" s="962"/>
      <c r="M19" s="962"/>
    </row>
    <row r="20" spans="2:15" s="955" customFormat="1" ht="28.5" customHeight="1">
      <c r="B20" s="956">
        <v>45278</v>
      </c>
      <c r="C20" s="957">
        <v>2755873</v>
      </c>
      <c r="D20" s="957">
        <v>2282259</v>
      </c>
      <c r="E20" s="952">
        <f>+Tabla63[[#This Row],[Afiliados Femeninos]]+Tabla63[[#This Row],[Afiliados Masculino]]</f>
        <v>5038132</v>
      </c>
      <c r="F20" s="957">
        <v>1072372</v>
      </c>
      <c r="G20" s="957">
        <v>977894</v>
      </c>
      <c r="H20" s="958">
        <f>+Tabla63[[#This Row],[Cotizantes Femenino ]]+Tabla63[[#This Row],[Cotizantes Masculinos]]</f>
        <v>2050266</v>
      </c>
      <c r="J20" s="962"/>
      <c r="K20" s="962"/>
      <c r="L20" s="962"/>
      <c r="M20" s="962"/>
    </row>
    <row r="21" spans="2:15" s="955" customFormat="1" ht="28.5" customHeight="1">
      <c r="B21" s="956">
        <v>45644</v>
      </c>
      <c r="C21" s="957">
        <v>2892776</v>
      </c>
      <c r="D21" s="957">
        <v>2417770</v>
      </c>
      <c r="E21" s="952">
        <f>+Tabla63[[#This Row],[Afiliados Femeninos]]+Tabla63[[#This Row],[Afiliados Masculino]]</f>
        <v>5310546</v>
      </c>
      <c r="F21" s="957">
        <v>1146760</v>
      </c>
      <c r="G21" s="957">
        <v>1072739</v>
      </c>
      <c r="H21" s="958">
        <f>+Tabla63[[#This Row],[Cotizantes Femenino ]]+Tabla63[[#This Row],[Cotizantes Masculinos]]</f>
        <v>2219499</v>
      </c>
      <c r="J21" s="962"/>
      <c r="K21" s="962"/>
      <c r="L21" s="962"/>
      <c r="M21" s="962"/>
    </row>
    <row r="22" spans="2:15" s="955" customFormat="1" ht="28.5" customHeight="1">
      <c r="B22" s="1771" t="str">
        <f>+'Resumen '!O5</f>
        <v>Abr.25</v>
      </c>
      <c r="C22" s="957">
        <f>+'Resumen '!B43</f>
        <v>2934309</v>
      </c>
      <c r="D22" s="957">
        <f>+'Resumen '!B44</f>
        <v>2458254</v>
      </c>
      <c r="E22" s="952">
        <f>+Tabla63[[#This Row],[Afiliados Femeninos]]+Tabla63[[#This Row],[Afiliados Masculino]]</f>
        <v>5392563</v>
      </c>
      <c r="F22" s="957">
        <f>+'Resumen '!D43</f>
        <v>1146994</v>
      </c>
      <c r="G22" s="957">
        <f>+'Resumen '!D44</f>
        <v>1079937</v>
      </c>
      <c r="H22" s="958">
        <f>+Tabla63[[#This Row],[Cotizantes Femenino ]]+Tabla63[[#This Row],[Cotizantes Masculinos]]</f>
        <v>2226931</v>
      </c>
      <c r="I22" s="959"/>
      <c r="J22" s="1094"/>
      <c r="K22" s="1094"/>
      <c r="L22" s="962"/>
      <c r="M22" s="962"/>
    </row>
    <row r="23" spans="2:15" ht="24.75" customHeight="1">
      <c r="B23" s="333" t="s">
        <v>659</v>
      </c>
      <c r="I23" s="339"/>
      <c r="J23" s="963"/>
      <c r="K23" s="963"/>
      <c r="O23" s="307">
        <f>+H22-'III.5.3.Afil. SVDS'!B22</f>
        <v>0</v>
      </c>
    </row>
    <row r="24" spans="2:15">
      <c r="B24" s="340"/>
      <c r="C24" s="340"/>
      <c r="D24" s="340"/>
      <c r="E24" s="340"/>
      <c r="F24" s="340"/>
      <c r="G24" s="340"/>
      <c r="H24" s="340"/>
      <c r="I24" s="339"/>
      <c r="J24" s="963"/>
      <c r="K24" s="963"/>
      <c r="L24" s="963"/>
      <c r="M24" s="963"/>
    </row>
    <row r="25" spans="2:15" s="340" customFormat="1">
      <c r="B25" s="480"/>
      <c r="J25" s="964"/>
      <c r="K25" s="964"/>
      <c r="L25" s="964"/>
      <c r="M25" s="964"/>
    </row>
    <row r="26" spans="2:15" s="339" customFormat="1">
      <c r="B26" s="480"/>
      <c r="C26" s="531"/>
      <c r="D26" s="531"/>
      <c r="E26" s="531"/>
      <c r="F26" s="531"/>
      <c r="G26" s="340"/>
      <c r="H26" s="340"/>
      <c r="J26" s="963"/>
      <c r="K26" s="963"/>
      <c r="L26" s="963"/>
      <c r="M26" s="963"/>
    </row>
    <row r="27" spans="2:15" s="339" customFormat="1">
      <c r="J27" s="963"/>
      <c r="K27" s="963"/>
      <c r="L27" s="963"/>
      <c r="M27" s="963"/>
    </row>
    <row r="28" spans="2:15" s="339" customFormat="1">
      <c r="J28" s="963"/>
      <c r="K28" s="963"/>
      <c r="L28" s="963"/>
      <c r="M28" s="963"/>
    </row>
    <row r="29" spans="2:15" s="339" customFormat="1">
      <c r="J29" s="963"/>
      <c r="K29" s="963"/>
      <c r="L29" s="963"/>
      <c r="M29" s="963"/>
    </row>
    <row r="30" spans="2:15" s="339" customFormat="1">
      <c r="J30" s="963"/>
      <c r="K30" s="963"/>
      <c r="L30" s="963"/>
      <c r="M30" s="963"/>
    </row>
    <row r="31" spans="2:15" s="339" customFormat="1">
      <c r="J31" s="963"/>
      <c r="K31" s="963"/>
      <c r="L31" s="963"/>
      <c r="M31" s="963"/>
    </row>
    <row r="32" spans="2:15" s="339" customFormat="1">
      <c r="J32" s="963"/>
      <c r="K32" s="963"/>
      <c r="L32" s="963"/>
      <c r="M32" s="963"/>
    </row>
    <row r="33" spans="2:13" s="339" customFormat="1">
      <c r="J33" s="963"/>
      <c r="K33" s="963"/>
      <c r="L33" s="963"/>
      <c r="M33" s="963"/>
    </row>
    <row r="34" spans="2:13" s="339" customFormat="1">
      <c r="J34" s="963"/>
      <c r="K34" s="963"/>
      <c r="L34" s="963"/>
      <c r="M34" s="963"/>
    </row>
    <row r="35" spans="2:13" s="339" customFormat="1">
      <c r="J35" s="963"/>
      <c r="K35" s="963"/>
      <c r="L35" s="963"/>
      <c r="M35" s="963"/>
    </row>
    <row r="36" spans="2:13" s="339" customFormat="1">
      <c r="J36" s="963"/>
      <c r="K36" s="963"/>
      <c r="L36" s="963"/>
      <c r="M36" s="963"/>
    </row>
    <row r="37" spans="2:13" s="339" customFormat="1">
      <c r="J37" s="963"/>
      <c r="K37" s="963"/>
      <c r="L37" s="963"/>
      <c r="M37" s="963"/>
    </row>
    <row r="38" spans="2:13" s="339" customFormat="1">
      <c r="J38" s="963"/>
      <c r="K38" s="963"/>
      <c r="L38" s="963"/>
      <c r="M38" s="963"/>
    </row>
    <row r="39" spans="2:13" s="339" customFormat="1">
      <c r="J39" s="963"/>
      <c r="K39" s="963"/>
      <c r="L39" s="963"/>
      <c r="M39" s="963"/>
    </row>
    <row r="40" spans="2:13" s="339" customFormat="1">
      <c r="J40" s="963"/>
      <c r="K40" s="963"/>
      <c r="L40" s="963"/>
      <c r="M40" s="963"/>
    </row>
    <row r="41" spans="2:13" s="339" customFormat="1">
      <c r="J41" s="963"/>
      <c r="K41" s="963"/>
      <c r="L41" s="963"/>
      <c r="M41" s="963"/>
    </row>
    <row r="42" spans="2:13" s="339" customFormat="1">
      <c r="J42" s="963"/>
      <c r="K42" s="963"/>
      <c r="L42" s="963"/>
      <c r="M42" s="963"/>
    </row>
    <row r="43" spans="2:13" s="339" customFormat="1">
      <c r="J43" s="963"/>
      <c r="K43" s="963"/>
      <c r="L43" s="963"/>
      <c r="M43" s="963"/>
    </row>
    <row r="44" spans="2:13" s="339" customFormat="1">
      <c r="J44" s="963"/>
      <c r="K44" s="963"/>
      <c r="L44" s="963"/>
      <c r="M44" s="963"/>
    </row>
    <row r="45" spans="2:13" s="339" customFormat="1">
      <c r="J45" s="963"/>
      <c r="K45" s="963"/>
      <c r="L45" s="963"/>
      <c r="M45" s="963"/>
    </row>
    <row r="46" spans="2:13" ht="9.75" customHeight="1">
      <c r="B46" s="339"/>
      <c r="C46" s="339"/>
      <c r="D46" s="339"/>
    </row>
    <row r="47" spans="2:13" hidden="1">
      <c r="B47" s="339"/>
      <c r="C47" s="339"/>
      <c r="D47" s="339"/>
    </row>
    <row r="48" spans="2:13" ht="63" customHeight="1">
      <c r="B48" s="339"/>
      <c r="C48" s="339"/>
      <c r="D48" s="339"/>
    </row>
    <row r="49" spans="2:13">
      <c r="B49" s="339"/>
      <c r="C49" s="339"/>
      <c r="D49" s="339"/>
    </row>
    <row r="50" spans="2:13">
      <c r="B50" s="339"/>
      <c r="C50" s="339"/>
      <c r="D50" s="339"/>
    </row>
    <row r="51" spans="2:13">
      <c r="B51" s="339"/>
      <c r="C51" s="339"/>
      <c r="D51" s="339"/>
    </row>
    <row r="52" spans="2:13">
      <c r="B52" s="480"/>
      <c r="C52" s="340"/>
      <c r="D52" s="340"/>
      <c r="E52" s="340"/>
      <c r="F52" s="340"/>
      <c r="G52" s="340"/>
      <c r="H52" s="340"/>
      <c r="I52" s="339"/>
      <c r="J52" s="963"/>
      <c r="K52" s="963"/>
      <c r="L52" s="963"/>
      <c r="M52" s="963"/>
    </row>
    <row r="53" spans="2:13">
      <c r="B53" s="480"/>
      <c r="C53" s="340"/>
      <c r="D53" s="340"/>
      <c r="E53" s="340"/>
      <c r="F53" s="340"/>
      <c r="G53" s="340"/>
      <c r="H53" s="340"/>
      <c r="I53" s="339"/>
      <c r="J53" s="963"/>
      <c r="K53" s="963"/>
      <c r="L53" s="963"/>
      <c r="M53" s="963"/>
    </row>
    <row r="54" spans="2:13">
      <c r="B54" s="480"/>
      <c r="C54" s="340"/>
      <c r="D54" s="340"/>
      <c r="E54" s="340"/>
      <c r="F54" s="340"/>
      <c r="G54" s="340"/>
      <c r="H54" s="340"/>
    </row>
    <row r="55" spans="2:13">
      <c r="B55" s="340"/>
      <c r="C55" s="340"/>
      <c r="D55" s="340"/>
      <c r="E55" s="340"/>
      <c r="F55" s="340"/>
      <c r="G55" s="340"/>
      <c r="H55" s="340"/>
    </row>
  </sheetData>
  <mergeCells count="2">
    <mergeCell ref="B1:M1"/>
    <mergeCell ref="B2:M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1">
    <tabColor rgb="FF0070C0"/>
    <pageSetUpPr fitToPage="1"/>
  </sheetPr>
  <dimension ref="A1:U46"/>
  <sheetViews>
    <sheetView showGridLines="0" view="pageBreakPreview" zoomScale="40" zoomScaleNormal="78" zoomScaleSheetLayoutView="40" workbookViewId="0">
      <selection activeCell="C23" sqref="C23"/>
    </sheetView>
  </sheetViews>
  <sheetFormatPr defaultColWidth="11.42578125" defaultRowHeight="14.25"/>
  <cols>
    <col min="1" max="1" width="36" style="307" customWidth="1"/>
    <col min="2" max="2" width="37.140625" style="307" customWidth="1"/>
    <col min="3" max="3" width="31.42578125" style="307" customWidth="1"/>
    <col min="4" max="4" width="19.42578125" style="307" bestFit="1" customWidth="1"/>
    <col min="5" max="5" width="17.5703125" style="307" customWidth="1"/>
    <col min="6" max="6" width="10.42578125" style="307" customWidth="1"/>
    <col min="7" max="7" width="11.7109375" style="307" customWidth="1"/>
    <col min="8" max="8" width="10.42578125" style="307" customWidth="1"/>
    <col min="9" max="9" width="16.140625" style="307" customWidth="1"/>
    <col min="10" max="10" width="11.140625" style="307" customWidth="1"/>
    <col min="11" max="11" width="12.5703125" style="307" customWidth="1"/>
    <col min="12" max="12" width="11.140625" style="307" customWidth="1"/>
    <col min="13" max="13" width="25.28515625" style="307" customWidth="1"/>
    <col min="14" max="14" width="18.28515625" style="307" customWidth="1"/>
    <col min="15" max="15" width="22" style="307" customWidth="1"/>
    <col min="16" max="16" width="27.7109375" style="307" customWidth="1"/>
    <col min="17" max="17" width="16.7109375" style="307" customWidth="1"/>
    <col min="18" max="18" width="15.28515625" style="307" customWidth="1"/>
    <col min="19" max="19" width="12.5703125" style="307" bestFit="1" customWidth="1"/>
    <col min="20" max="20" width="58.5703125" style="307" customWidth="1"/>
    <col min="21" max="21" width="15.42578125" style="307" bestFit="1" customWidth="1"/>
    <col min="22" max="16384" width="11.42578125" style="307"/>
  </cols>
  <sheetData>
    <row r="1" spans="1:20" s="541" customFormat="1" ht="113.25" customHeight="1">
      <c r="A1" s="2173" t="s">
        <v>681</v>
      </c>
      <c r="B1" s="2173"/>
      <c r="C1" s="2173"/>
      <c r="D1" s="2173"/>
      <c r="E1" s="2173"/>
      <c r="F1" s="2173"/>
      <c r="G1" s="2173"/>
      <c r="H1" s="2173"/>
      <c r="I1" s="2173"/>
      <c r="J1" s="2173"/>
      <c r="K1" s="2173"/>
      <c r="L1" s="2173"/>
      <c r="M1" s="2173"/>
      <c r="N1" s="2173"/>
      <c r="O1" s="2173"/>
      <c r="P1" s="2173"/>
      <c r="Q1" s="2173"/>
    </row>
    <row r="2" spans="1:20" s="541" customFormat="1" ht="43.5" customHeight="1">
      <c r="A2" s="2174" t="str">
        <f>+'Resumen '!O7</f>
        <v>Período:  Diciembre 2010 - Abril 2025</v>
      </c>
      <c r="B2" s="2174"/>
      <c r="C2" s="2174"/>
      <c r="D2" s="2174"/>
      <c r="E2" s="2174"/>
      <c r="F2" s="2174"/>
      <c r="G2" s="2174"/>
      <c r="H2" s="2174"/>
      <c r="I2" s="2174"/>
      <c r="J2" s="2174"/>
      <c r="K2" s="2174"/>
      <c r="L2" s="2174"/>
      <c r="M2" s="2174"/>
      <c r="N2" s="2174"/>
      <c r="O2" s="2174"/>
      <c r="P2" s="2174"/>
      <c r="Q2" s="2174"/>
      <c r="R2" s="542"/>
      <c r="S2" s="542"/>
    </row>
    <row r="3" spans="1:20" ht="18" customHeight="1">
      <c r="A3" s="338"/>
      <c r="B3" s="338"/>
      <c r="C3" s="338"/>
      <c r="D3" s="338"/>
      <c r="E3" s="338"/>
      <c r="F3" s="338"/>
      <c r="G3" s="338"/>
      <c r="H3" s="338"/>
      <c r="I3" s="338"/>
      <c r="J3" s="338"/>
      <c r="K3" s="338"/>
      <c r="L3" s="338"/>
      <c r="M3" s="338"/>
      <c r="N3" s="338"/>
      <c r="O3" s="338"/>
      <c r="P3" s="338"/>
      <c r="Q3" s="338"/>
      <c r="R3" s="338"/>
      <c r="S3" s="338"/>
    </row>
    <row r="4" spans="1:20" ht="10.5" customHeight="1">
      <c r="D4" s="338"/>
    </row>
    <row r="5" spans="1:20" ht="39" customHeight="1">
      <c r="A5" s="2175" t="s">
        <v>682</v>
      </c>
      <c r="B5" s="2176"/>
    </row>
    <row r="6" spans="1:20" ht="59.25" customHeight="1">
      <c r="A6" s="790" t="s">
        <v>683</v>
      </c>
      <c r="B6" s="790" t="s">
        <v>684</v>
      </c>
    </row>
    <row r="7" spans="1:20" ht="30.75">
      <c r="A7" s="791" t="s">
        <v>462</v>
      </c>
      <c r="B7" s="1444">
        <v>10644</v>
      </c>
    </row>
    <row r="8" spans="1:20" ht="30.75">
      <c r="A8" s="791" t="s">
        <v>463</v>
      </c>
      <c r="B8" s="1444">
        <v>6268</v>
      </c>
    </row>
    <row r="9" spans="1:20" ht="30.75">
      <c r="A9" s="791" t="s">
        <v>464</v>
      </c>
      <c r="B9" s="1444">
        <v>10046</v>
      </c>
    </row>
    <row r="10" spans="1:20" ht="30.75">
      <c r="A10" s="791" t="s">
        <v>465</v>
      </c>
      <c r="B10" s="1444">
        <v>15740</v>
      </c>
      <c r="T10" s="333"/>
    </row>
    <row r="11" spans="1:20" ht="30.75">
      <c r="A11" s="791" t="s">
        <v>466</v>
      </c>
      <c r="B11" s="1444">
        <v>32365</v>
      </c>
      <c r="F11" s="333"/>
    </row>
    <row r="12" spans="1:20" ht="30.75">
      <c r="A12" s="791" t="s">
        <v>467</v>
      </c>
      <c r="B12" s="1444">
        <v>42590</v>
      </c>
    </row>
    <row r="13" spans="1:20" ht="30.75">
      <c r="A13" s="791" t="s">
        <v>468</v>
      </c>
      <c r="B13" s="1444">
        <v>65077</v>
      </c>
    </row>
    <row r="14" spans="1:20" ht="30.75">
      <c r="A14" s="791" t="s">
        <v>469</v>
      </c>
      <c r="B14" s="1444">
        <v>80517</v>
      </c>
    </row>
    <row r="15" spans="1:20" ht="30.75">
      <c r="A15" s="791" t="s">
        <v>617</v>
      </c>
      <c r="B15" s="1444">
        <v>82712</v>
      </c>
    </row>
    <row r="16" spans="1:20" ht="30.75">
      <c r="A16" s="791" t="s">
        <v>618</v>
      </c>
      <c r="B16" s="1444">
        <v>88025</v>
      </c>
    </row>
    <row r="17" spans="1:18" ht="30.75">
      <c r="A17" s="791" t="s">
        <v>537</v>
      </c>
      <c r="B17" s="1444">
        <v>23483</v>
      </c>
    </row>
    <row r="18" spans="1:18" ht="30.75">
      <c r="A18" s="791" t="s">
        <v>473</v>
      </c>
      <c r="B18" s="1444">
        <v>35307</v>
      </c>
    </row>
    <row r="19" spans="1:18" ht="30.75">
      <c r="A19" s="791" t="s">
        <v>474</v>
      </c>
      <c r="B19" s="1444">
        <v>62389</v>
      </c>
    </row>
    <row r="20" spans="1:18" ht="30.75">
      <c r="A20" s="791" t="s">
        <v>475</v>
      </c>
      <c r="B20" s="1444">
        <v>81636</v>
      </c>
    </row>
    <row r="21" spans="1:18" ht="30.75">
      <c r="A21" s="791" t="s">
        <v>476</v>
      </c>
      <c r="B21" s="1444">
        <v>91014</v>
      </c>
    </row>
    <row r="22" spans="1:18" ht="30.75">
      <c r="A22" s="791" t="str">
        <f>+'Resumen '!O6</f>
        <v>Abr.2025</v>
      </c>
      <c r="B22" s="1444">
        <f>+'III.5.9.Trasp. recibidos'!O21</f>
        <v>28253</v>
      </c>
      <c r="R22" s="307">
        <f>+Tabla67[[#This Row],[Casos]]-'III.5.9.Trasp. recibidos'!O21</f>
        <v>0</v>
      </c>
    </row>
    <row r="23" spans="1:18" ht="30.75">
      <c r="A23" s="791" t="s">
        <v>235</v>
      </c>
      <c r="B23" s="792">
        <f>SUM(B7:B22)</f>
        <v>756066</v>
      </c>
      <c r="F23" s="339"/>
      <c r="H23" s="339"/>
      <c r="O23" s="339"/>
    </row>
    <row r="24" spans="1:18" ht="27">
      <c r="A24" s="446"/>
      <c r="B24" s="446"/>
      <c r="G24" s="339"/>
      <c r="I24" s="339"/>
      <c r="M24" s="339"/>
      <c r="P24" s="339"/>
      <c r="Q24" s="339"/>
    </row>
    <row r="25" spans="1:18">
      <c r="I25" s="339"/>
      <c r="K25" s="339"/>
      <c r="L25" s="339"/>
    </row>
    <row r="26" spans="1:18">
      <c r="I26" s="339"/>
      <c r="M26" s="339"/>
      <c r="Q26" s="339"/>
    </row>
    <row r="27" spans="1:18">
      <c r="G27" s="339"/>
      <c r="I27" s="339"/>
      <c r="M27" s="339"/>
      <c r="Q27" s="339"/>
    </row>
    <row r="28" spans="1:18">
      <c r="D28" s="342"/>
      <c r="E28" s="342"/>
      <c r="F28" s="342"/>
      <c r="G28" s="343"/>
      <c r="H28" s="342"/>
      <c r="I28" s="343"/>
      <c r="J28" s="342"/>
      <c r="K28" s="343"/>
      <c r="L28" s="343"/>
      <c r="M28" s="343"/>
      <c r="N28" s="342"/>
      <c r="O28" s="342"/>
      <c r="P28" s="342"/>
      <c r="Q28" s="342"/>
    </row>
    <row r="29" spans="1:18">
      <c r="G29" s="339"/>
      <c r="I29" s="339"/>
      <c r="M29" s="339"/>
      <c r="P29" s="339"/>
      <c r="Q29" s="339"/>
    </row>
    <row r="31" spans="1:18" ht="36.75" customHeight="1"/>
    <row r="32" spans="1:18" ht="36.75" customHeight="1"/>
    <row r="33" spans="21:21" ht="36.75" customHeight="1"/>
    <row r="34" spans="21:21" ht="36.75" customHeight="1"/>
    <row r="35" spans="21:21" ht="36.75" customHeight="1"/>
    <row r="36" spans="21:21" ht="36.75" customHeight="1"/>
    <row r="37" spans="21:21" ht="33" customHeight="1"/>
    <row r="38" spans="21:21" ht="33" customHeight="1">
      <c r="U38" s="344"/>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2">
    <tabColor rgb="FF0070C0"/>
    <pageSetUpPr fitToPage="1"/>
  </sheetPr>
  <dimension ref="A1:R38"/>
  <sheetViews>
    <sheetView showGridLines="0" view="pageBreakPreview" zoomScale="55" zoomScaleNormal="78" zoomScaleSheetLayoutView="55" workbookViewId="0">
      <pane xSplit="1" ySplit="5" topLeftCell="D12" activePane="bottomRight" state="frozen"/>
      <selection pane="bottomRight" activeCell="O21" sqref="O21"/>
      <selection pane="bottomLeft" activeCell="G9" sqref="G9"/>
      <selection pane="topRight" activeCell="G9" sqref="G9"/>
    </sheetView>
  </sheetViews>
  <sheetFormatPr defaultColWidth="11.42578125" defaultRowHeight="14.25"/>
  <cols>
    <col min="1" max="1" width="28.42578125" style="307" customWidth="1"/>
    <col min="2" max="2" width="17.85546875" style="337" customWidth="1"/>
    <col min="3" max="3" width="17.7109375" style="337" customWidth="1"/>
    <col min="4" max="4" width="21" style="337" customWidth="1"/>
    <col min="5" max="5" width="18.42578125" style="337" bestFit="1" customWidth="1"/>
    <col min="6" max="6" width="21.5703125" style="337" bestFit="1" customWidth="1"/>
    <col min="7" max="7" width="17.140625" style="337" customWidth="1"/>
    <col min="8" max="8" width="19.42578125" style="337" bestFit="1" customWidth="1"/>
    <col min="9" max="9" width="22.85546875" style="307" customWidth="1"/>
    <col min="10" max="10" width="27.140625" style="307" customWidth="1"/>
    <col min="11" max="11" width="27" style="307" customWidth="1"/>
    <col min="12" max="12" width="30.85546875" style="307" customWidth="1"/>
    <col min="13" max="13" width="24" style="307" customWidth="1"/>
    <col min="14" max="14" width="30.85546875" style="307" bestFit="1" customWidth="1"/>
    <col min="15" max="15" width="21.140625" style="307" customWidth="1"/>
    <col min="16" max="16" width="20.28515625" style="307" customWidth="1"/>
    <col min="17" max="16384" width="11.42578125" style="307"/>
  </cols>
  <sheetData>
    <row r="1" spans="1:18" s="541" customFormat="1" ht="79.5" customHeight="1">
      <c r="A1" s="2118" t="s">
        <v>685</v>
      </c>
      <c r="B1" s="2118"/>
      <c r="C1" s="2118"/>
      <c r="D1" s="2118"/>
      <c r="E1" s="2118"/>
      <c r="F1" s="2118"/>
      <c r="G1" s="2118"/>
      <c r="H1" s="2118"/>
      <c r="I1" s="2118"/>
      <c r="J1" s="2118"/>
      <c r="K1" s="2118"/>
      <c r="L1" s="2118"/>
      <c r="M1" s="2118"/>
      <c r="N1" s="2118"/>
      <c r="O1" s="2118"/>
    </row>
    <row r="2" spans="1:18" s="541" customFormat="1" ht="39" customHeight="1">
      <c r="A2" s="2177" t="str">
        <f>+'Resumen '!O7</f>
        <v>Período:  Diciembre 2010 - Abril 2025</v>
      </c>
      <c r="B2" s="2177"/>
      <c r="C2" s="2177"/>
      <c r="D2" s="2177"/>
      <c r="E2" s="2177"/>
      <c r="F2" s="2177"/>
      <c r="G2" s="2177"/>
      <c r="H2" s="2177"/>
      <c r="I2" s="2177"/>
      <c r="J2" s="2177"/>
      <c r="K2" s="2177"/>
      <c r="L2" s="2177"/>
      <c r="M2" s="2177"/>
      <c r="N2" s="2177"/>
      <c r="O2" s="2177"/>
    </row>
    <row r="3" spans="1:18" ht="6" customHeight="1">
      <c r="B3" s="307"/>
      <c r="C3" s="307"/>
      <c r="D3" s="307"/>
      <c r="E3" s="307"/>
      <c r="F3" s="307"/>
      <c r="G3" s="307"/>
      <c r="H3" s="307"/>
    </row>
    <row r="4" spans="1:18" ht="39" customHeight="1">
      <c r="A4" s="2178" t="s">
        <v>686</v>
      </c>
      <c r="B4" s="2179"/>
      <c r="C4" s="2179"/>
      <c r="D4" s="2179"/>
      <c r="E4" s="2179"/>
      <c r="F4" s="2179"/>
      <c r="G4" s="2179"/>
      <c r="H4" s="2179"/>
      <c r="I4" s="2179"/>
      <c r="J4" s="2179"/>
      <c r="K4" s="2179"/>
      <c r="L4" s="2179"/>
      <c r="M4" s="2179"/>
      <c r="N4" s="2179"/>
      <c r="O4" s="2180"/>
    </row>
    <row r="5" spans="1:18" s="578" customFormat="1" ht="85.5" customHeight="1">
      <c r="A5" s="1072" t="s">
        <v>262</v>
      </c>
      <c r="B5" s="708" t="s">
        <v>687</v>
      </c>
      <c r="C5" s="708" t="s">
        <v>688</v>
      </c>
      <c r="D5" s="708" t="s">
        <v>689</v>
      </c>
      <c r="E5" s="708" t="s">
        <v>690</v>
      </c>
      <c r="F5" s="708" t="s">
        <v>691</v>
      </c>
      <c r="G5" s="708" t="s">
        <v>692</v>
      </c>
      <c r="H5" s="708" t="s">
        <v>693</v>
      </c>
      <c r="I5" s="708" t="s">
        <v>235</v>
      </c>
      <c r="J5" s="708" t="s">
        <v>694</v>
      </c>
      <c r="K5" s="708" t="s">
        <v>695</v>
      </c>
      <c r="L5" s="708" t="s">
        <v>696</v>
      </c>
      <c r="M5" s="708" t="s">
        <v>697</v>
      </c>
      <c r="N5" s="708" t="s">
        <v>698</v>
      </c>
      <c r="O5" s="935" t="s">
        <v>699</v>
      </c>
      <c r="P5" s="345"/>
    </row>
    <row r="6" spans="1:18" s="329" customFormat="1" ht="23.25">
      <c r="A6" s="793" t="s">
        <v>462</v>
      </c>
      <c r="B6" s="1133">
        <v>0</v>
      </c>
      <c r="C6" s="1133">
        <v>116</v>
      </c>
      <c r="D6" s="1133">
        <v>0</v>
      </c>
      <c r="E6" s="1133">
        <v>505</v>
      </c>
      <c r="F6" s="1133">
        <v>2471</v>
      </c>
      <c r="G6" s="1133">
        <v>2</v>
      </c>
      <c r="H6" s="1133">
        <v>125</v>
      </c>
      <c r="I6" s="1134">
        <f t="shared" ref="I6:I17" si="0">SUM(B6:H6)</f>
        <v>3219</v>
      </c>
      <c r="J6" s="1133">
        <v>4114</v>
      </c>
      <c r="K6" s="1133">
        <v>0</v>
      </c>
      <c r="L6" s="1133">
        <v>1</v>
      </c>
      <c r="M6" s="1133">
        <v>3310</v>
      </c>
      <c r="N6" s="1135">
        <f t="shared" ref="N6:N17" si="1">+M6+L6+K6+J6</f>
        <v>7425</v>
      </c>
      <c r="O6" s="1136">
        <f>+N6+I6</f>
        <v>10644</v>
      </c>
      <c r="P6" s="346"/>
      <c r="Q6" s="346"/>
      <c r="R6" s="346"/>
    </row>
    <row r="7" spans="1:18" s="329" customFormat="1" ht="23.25">
      <c r="A7" s="793" t="s">
        <v>463</v>
      </c>
      <c r="B7" s="1133">
        <v>0</v>
      </c>
      <c r="C7" s="1133">
        <v>306</v>
      </c>
      <c r="D7" s="1133">
        <v>0</v>
      </c>
      <c r="E7" s="1133">
        <v>572</v>
      </c>
      <c r="F7" s="1133">
        <v>3158</v>
      </c>
      <c r="G7" s="1133">
        <v>8</v>
      </c>
      <c r="H7" s="1133">
        <v>247</v>
      </c>
      <c r="I7" s="1134">
        <f t="shared" si="0"/>
        <v>4291</v>
      </c>
      <c r="J7" s="1133">
        <v>199</v>
      </c>
      <c r="K7" s="1133">
        <v>0</v>
      </c>
      <c r="L7" s="1133">
        <v>0</v>
      </c>
      <c r="M7" s="1133">
        <v>1778</v>
      </c>
      <c r="N7" s="1135">
        <f t="shared" si="1"/>
        <v>1977</v>
      </c>
      <c r="O7" s="1136">
        <f t="shared" ref="O7:O12" si="2">+N7+I7</f>
        <v>6268</v>
      </c>
      <c r="P7" s="346"/>
      <c r="Q7" s="346"/>
      <c r="R7" s="346"/>
    </row>
    <row r="8" spans="1:18" s="329" customFormat="1" ht="23.25">
      <c r="A8" s="793" t="s">
        <v>464</v>
      </c>
      <c r="B8" s="1133">
        <v>0</v>
      </c>
      <c r="C8" s="1133">
        <v>1022</v>
      </c>
      <c r="D8" s="1133">
        <v>0</v>
      </c>
      <c r="E8" s="1133">
        <v>1014</v>
      </c>
      <c r="F8" s="1133">
        <v>3741</v>
      </c>
      <c r="G8" s="1133">
        <v>11</v>
      </c>
      <c r="H8" s="1133">
        <v>783</v>
      </c>
      <c r="I8" s="1134">
        <f t="shared" si="0"/>
        <v>6571</v>
      </c>
      <c r="J8" s="1133">
        <v>17</v>
      </c>
      <c r="K8" s="1133">
        <v>0</v>
      </c>
      <c r="L8" s="1133">
        <v>1</v>
      </c>
      <c r="M8" s="1133">
        <v>3457</v>
      </c>
      <c r="N8" s="1135">
        <f t="shared" si="1"/>
        <v>3475</v>
      </c>
      <c r="O8" s="1136">
        <f t="shared" si="2"/>
        <v>10046</v>
      </c>
      <c r="P8" s="346"/>
      <c r="Q8" s="346"/>
      <c r="R8" s="346"/>
    </row>
    <row r="9" spans="1:18" s="329" customFormat="1" ht="23.25">
      <c r="A9" s="793" t="s">
        <v>465</v>
      </c>
      <c r="B9" s="1133">
        <v>0</v>
      </c>
      <c r="C9" s="1133">
        <v>1578</v>
      </c>
      <c r="D9" s="1133">
        <v>0</v>
      </c>
      <c r="E9" s="1133">
        <v>1482</v>
      </c>
      <c r="F9" s="1133">
        <v>7614</v>
      </c>
      <c r="G9" s="1133">
        <v>7</v>
      </c>
      <c r="H9" s="1133">
        <v>1278</v>
      </c>
      <c r="I9" s="1134">
        <f t="shared" si="0"/>
        <v>11959</v>
      </c>
      <c r="J9" s="1133">
        <v>1532</v>
      </c>
      <c r="K9" s="1133">
        <v>0</v>
      </c>
      <c r="L9" s="1133">
        <v>0</v>
      </c>
      <c r="M9" s="1133">
        <v>2249</v>
      </c>
      <c r="N9" s="1135">
        <f t="shared" si="1"/>
        <v>3781</v>
      </c>
      <c r="O9" s="1136">
        <f t="shared" si="2"/>
        <v>15740</v>
      </c>
      <c r="P9" s="346"/>
      <c r="Q9" s="346"/>
      <c r="R9" s="346"/>
    </row>
    <row r="10" spans="1:18" s="329" customFormat="1" ht="23.25">
      <c r="A10" s="793" t="s">
        <v>466</v>
      </c>
      <c r="B10" s="1133">
        <v>0</v>
      </c>
      <c r="C10" s="1133">
        <v>4313</v>
      </c>
      <c r="D10" s="1133">
        <v>0</v>
      </c>
      <c r="E10" s="1133">
        <v>2468</v>
      </c>
      <c r="F10" s="1133">
        <v>14806</v>
      </c>
      <c r="G10" s="1133">
        <v>768</v>
      </c>
      <c r="H10" s="1133">
        <v>2513</v>
      </c>
      <c r="I10" s="1134">
        <f t="shared" si="0"/>
        <v>24868</v>
      </c>
      <c r="J10" s="1133">
        <v>462</v>
      </c>
      <c r="K10" s="1133">
        <v>0</v>
      </c>
      <c r="L10" s="1133">
        <v>0</v>
      </c>
      <c r="M10" s="1133">
        <v>7035</v>
      </c>
      <c r="N10" s="1135">
        <f t="shared" si="1"/>
        <v>7497</v>
      </c>
      <c r="O10" s="1136">
        <f t="shared" si="2"/>
        <v>32365</v>
      </c>
      <c r="P10" s="346"/>
      <c r="Q10" s="346"/>
      <c r="R10" s="346"/>
    </row>
    <row r="11" spans="1:18" s="329" customFormat="1" ht="23.25">
      <c r="A11" s="793" t="s">
        <v>467</v>
      </c>
      <c r="B11" s="1133">
        <v>0</v>
      </c>
      <c r="C11" s="1133">
        <v>5871</v>
      </c>
      <c r="D11" s="1133">
        <v>0</v>
      </c>
      <c r="E11" s="1133">
        <v>4978</v>
      </c>
      <c r="F11" s="1133">
        <v>20426</v>
      </c>
      <c r="G11" s="1133">
        <v>1042</v>
      </c>
      <c r="H11" s="1133">
        <v>4287</v>
      </c>
      <c r="I11" s="1134">
        <f t="shared" si="0"/>
        <v>36604</v>
      </c>
      <c r="J11" s="1133">
        <v>426</v>
      </c>
      <c r="K11" s="1133">
        <v>0</v>
      </c>
      <c r="L11" s="1133">
        <v>11</v>
      </c>
      <c r="M11" s="1133">
        <v>5549</v>
      </c>
      <c r="N11" s="1135">
        <f t="shared" si="1"/>
        <v>5986</v>
      </c>
      <c r="O11" s="1136">
        <f t="shared" si="2"/>
        <v>42590</v>
      </c>
      <c r="P11" s="346"/>
      <c r="Q11" s="346"/>
      <c r="R11" s="346"/>
    </row>
    <row r="12" spans="1:18" s="329" customFormat="1" ht="23.25">
      <c r="A12" s="793" t="s">
        <v>468</v>
      </c>
      <c r="B12" s="1133">
        <v>11383</v>
      </c>
      <c r="C12" s="1133">
        <v>10015</v>
      </c>
      <c r="D12" s="1133">
        <v>0</v>
      </c>
      <c r="E12" s="1133">
        <v>10052</v>
      </c>
      <c r="F12" s="1133">
        <v>22261</v>
      </c>
      <c r="G12" s="1133">
        <v>740</v>
      </c>
      <c r="H12" s="1133">
        <v>7745</v>
      </c>
      <c r="I12" s="1134">
        <f t="shared" si="0"/>
        <v>62196</v>
      </c>
      <c r="J12" s="1133">
        <v>725</v>
      </c>
      <c r="K12" s="1133">
        <v>0</v>
      </c>
      <c r="L12" s="1133">
        <v>0</v>
      </c>
      <c r="M12" s="1133">
        <v>2156</v>
      </c>
      <c r="N12" s="1135">
        <f t="shared" si="1"/>
        <v>2881</v>
      </c>
      <c r="O12" s="1136">
        <f t="shared" si="2"/>
        <v>65077</v>
      </c>
      <c r="P12" s="346"/>
      <c r="Q12" s="346"/>
      <c r="R12" s="346"/>
    </row>
    <row r="13" spans="1:18" s="347" customFormat="1" ht="23.25">
      <c r="A13" s="793" t="s">
        <v>469</v>
      </c>
      <c r="B13" s="1137">
        <v>13678</v>
      </c>
      <c r="C13" s="1133">
        <v>10088</v>
      </c>
      <c r="D13" s="1133">
        <v>287</v>
      </c>
      <c r="E13" s="1133">
        <v>18702</v>
      </c>
      <c r="F13" s="1133">
        <v>19380</v>
      </c>
      <c r="G13" s="1133">
        <v>1053</v>
      </c>
      <c r="H13" s="1133">
        <v>10735</v>
      </c>
      <c r="I13" s="1134">
        <f t="shared" si="0"/>
        <v>73923</v>
      </c>
      <c r="J13" s="1133">
        <v>872</v>
      </c>
      <c r="K13" s="1133">
        <v>0</v>
      </c>
      <c r="L13" s="1133">
        <v>0</v>
      </c>
      <c r="M13" s="1133">
        <v>5722</v>
      </c>
      <c r="N13" s="1135">
        <f t="shared" si="1"/>
        <v>6594</v>
      </c>
      <c r="O13" s="1136">
        <f>+N13+I13</f>
        <v>80517</v>
      </c>
      <c r="P13" s="346"/>
      <c r="Q13" s="346"/>
      <c r="R13" s="346"/>
    </row>
    <row r="14" spans="1:18" s="347" customFormat="1" ht="23.25">
      <c r="A14" s="793" t="s">
        <v>470</v>
      </c>
      <c r="B14" s="1137">
        <v>4664</v>
      </c>
      <c r="C14" s="1133">
        <v>14487</v>
      </c>
      <c r="D14" s="1133">
        <v>2547</v>
      </c>
      <c r="E14" s="1133">
        <v>26449</v>
      </c>
      <c r="F14" s="1133">
        <v>21853</v>
      </c>
      <c r="G14" s="1133">
        <v>665</v>
      </c>
      <c r="H14" s="1133">
        <v>9985</v>
      </c>
      <c r="I14" s="1134">
        <f t="shared" si="0"/>
        <v>80650</v>
      </c>
      <c r="J14" s="1133">
        <v>204</v>
      </c>
      <c r="K14" s="1133">
        <v>0</v>
      </c>
      <c r="L14" s="1133">
        <v>0</v>
      </c>
      <c r="M14" s="1133">
        <v>1858</v>
      </c>
      <c r="N14" s="1135">
        <f t="shared" si="1"/>
        <v>2062</v>
      </c>
      <c r="O14" s="1136">
        <f>+N14+I14</f>
        <v>82712</v>
      </c>
      <c r="P14" s="346"/>
      <c r="Q14" s="346"/>
      <c r="R14" s="346"/>
    </row>
    <row r="15" spans="1:18" s="347" customFormat="1" ht="23.25">
      <c r="A15" s="793" t="s">
        <v>471</v>
      </c>
      <c r="B15" s="1133">
        <v>5794</v>
      </c>
      <c r="C15" s="1133">
        <v>24336</v>
      </c>
      <c r="D15" s="1133">
        <v>3249</v>
      </c>
      <c r="E15" s="1133">
        <v>18892</v>
      </c>
      <c r="F15" s="1133">
        <v>19821</v>
      </c>
      <c r="G15" s="1133">
        <v>396</v>
      </c>
      <c r="H15" s="1133">
        <v>10586</v>
      </c>
      <c r="I15" s="1134">
        <f t="shared" si="0"/>
        <v>83074</v>
      </c>
      <c r="J15" s="1133">
        <v>316</v>
      </c>
      <c r="K15" s="1133">
        <v>0</v>
      </c>
      <c r="L15" s="1133">
        <v>0</v>
      </c>
      <c r="M15" s="1133">
        <v>4635</v>
      </c>
      <c r="N15" s="1135">
        <f t="shared" si="1"/>
        <v>4951</v>
      </c>
      <c r="O15" s="1136">
        <f>+N15+I15</f>
        <v>88025</v>
      </c>
      <c r="P15" s="346"/>
      <c r="Q15" s="346"/>
      <c r="R15" s="346"/>
    </row>
    <row r="16" spans="1:18" s="347" customFormat="1" ht="23.25">
      <c r="A16" s="793" t="s">
        <v>537</v>
      </c>
      <c r="B16" s="1133">
        <v>4302</v>
      </c>
      <c r="C16" s="1133">
        <v>6423</v>
      </c>
      <c r="D16" s="1133">
        <v>777</v>
      </c>
      <c r="E16" s="1133">
        <v>3046</v>
      </c>
      <c r="F16" s="1133">
        <v>6734</v>
      </c>
      <c r="G16" s="1133">
        <v>97</v>
      </c>
      <c r="H16" s="1133">
        <v>1553</v>
      </c>
      <c r="I16" s="1134">
        <f t="shared" si="0"/>
        <v>22932</v>
      </c>
      <c r="J16" s="1133">
        <v>461</v>
      </c>
      <c r="K16" s="1133">
        <v>0</v>
      </c>
      <c r="L16" s="1133">
        <v>0</v>
      </c>
      <c r="M16" s="1133">
        <v>90</v>
      </c>
      <c r="N16" s="1135">
        <f t="shared" si="1"/>
        <v>551</v>
      </c>
      <c r="O16" s="1136">
        <f>+N16+I16</f>
        <v>23483</v>
      </c>
      <c r="P16" s="346"/>
      <c r="Q16" s="346"/>
      <c r="R16" s="346"/>
    </row>
    <row r="17" spans="1:18" s="347" customFormat="1" ht="23.25">
      <c r="A17" s="794" t="s">
        <v>700</v>
      </c>
      <c r="B17" s="1208">
        <v>4168</v>
      </c>
      <c r="C17" s="1208">
        <v>9156</v>
      </c>
      <c r="D17" s="1208">
        <v>1668</v>
      </c>
      <c r="E17" s="1208">
        <v>5713</v>
      </c>
      <c r="F17" s="1208">
        <v>8222</v>
      </c>
      <c r="G17" s="1208">
        <v>577</v>
      </c>
      <c r="H17" s="1208">
        <v>4639</v>
      </c>
      <c r="I17" s="1209">
        <f t="shared" si="0"/>
        <v>34143</v>
      </c>
      <c r="J17" s="1208">
        <v>942</v>
      </c>
      <c r="K17" s="1208">
        <v>0</v>
      </c>
      <c r="L17" s="1208">
        <v>0</v>
      </c>
      <c r="M17" s="1208">
        <v>232</v>
      </c>
      <c r="N17" s="1210">
        <f t="shared" si="1"/>
        <v>1174</v>
      </c>
      <c r="O17" s="1211">
        <f>+N17+I17</f>
        <v>35317</v>
      </c>
      <c r="P17" s="346"/>
      <c r="Q17" s="346"/>
      <c r="R17" s="346"/>
    </row>
    <row r="18" spans="1:18" s="347" customFormat="1" ht="23.25">
      <c r="A18" s="794" t="s">
        <v>569</v>
      </c>
      <c r="B18" s="1208">
        <v>4342</v>
      </c>
      <c r="C18" s="1208">
        <v>10949</v>
      </c>
      <c r="D18" s="1208">
        <v>2442</v>
      </c>
      <c r="E18" s="1208">
        <v>7812</v>
      </c>
      <c r="F18" s="1208">
        <v>7363</v>
      </c>
      <c r="G18" s="1208">
        <v>320</v>
      </c>
      <c r="H18" s="1208">
        <v>6675</v>
      </c>
      <c r="I18" s="1209">
        <v>39903</v>
      </c>
      <c r="J18" s="1208">
        <v>1157</v>
      </c>
      <c r="K18" s="1208">
        <v>0</v>
      </c>
      <c r="L18" s="1208">
        <v>0</v>
      </c>
      <c r="M18" s="1208">
        <v>21329</v>
      </c>
      <c r="N18" s="1210">
        <v>22486</v>
      </c>
      <c r="O18" s="1211">
        <v>62389</v>
      </c>
      <c r="P18" s="346"/>
      <c r="Q18" s="346"/>
      <c r="R18" s="346"/>
    </row>
    <row r="19" spans="1:18" s="347" customFormat="1" ht="23.25">
      <c r="A19" s="794" t="s">
        <v>570</v>
      </c>
      <c r="B19" s="1208">
        <v>7908</v>
      </c>
      <c r="C19" s="1208">
        <v>15328</v>
      </c>
      <c r="D19" s="1208">
        <v>3775</v>
      </c>
      <c r="E19" s="1208">
        <v>17661</v>
      </c>
      <c r="F19" s="1208">
        <v>14013</v>
      </c>
      <c r="G19" s="1208">
        <v>241</v>
      </c>
      <c r="H19" s="1208">
        <v>11925</v>
      </c>
      <c r="I19" s="1209">
        <v>70851</v>
      </c>
      <c r="J19" s="1208">
        <v>856</v>
      </c>
      <c r="K19" s="1208">
        <v>0</v>
      </c>
      <c r="L19" s="1208">
        <v>1</v>
      </c>
      <c r="M19" s="1208">
        <v>9928</v>
      </c>
      <c r="N19" s="1210">
        <v>10785</v>
      </c>
      <c r="O19" s="1211">
        <v>81636</v>
      </c>
      <c r="P19" s="346"/>
      <c r="Q19" s="346"/>
      <c r="R19" s="346"/>
    </row>
    <row r="20" spans="1:18" s="347" customFormat="1" ht="23.25">
      <c r="A20" s="794" t="s">
        <v>476</v>
      </c>
      <c r="B20" s="1208">
        <v>8589</v>
      </c>
      <c r="C20" s="1208">
        <v>19900</v>
      </c>
      <c r="D20" s="1208">
        <v>2496</v>
      </c>
      <c r="E20" s="1208">
        <v>12655</v>
      </c>
      <c r="F20" s="1208">
        <v>22272</v>
      </c>
      <c r="G20" s="1208">
        <v>283</v>
      </c>
      <c r="H20" s="1208">
        <v>14909</v>
      </c>
      <c r="I20" s="1209">
        <v>81104</v>
      </c>
      <c r="J20" s="1208">
        <v>2476</v>
      </c>
      <c r="K20" s="1208"/>
      <c r="L20" s="1208">
        <v>0</v>
      </c>
      <c r="M20" s="1208">
        <v>7434</v>
      </c>
      <c r="N20" s="1210">
        <v>9910</v>
      </c>
      <c r="O20" s="1211">
        <v>91014</v>
      </c>
      <c r="P20" s="346"/>
      <c r="Q20" s="346"/>
      <c r="R20" s="346"/>
    </row>
    <row r="21" spans="1:18" s="329" customFormat="1" ht="23.25">
      <c r="A21" s="793" t="str">
        <f>+'Resumen '!O6</f>
        <v>Abr.2025</v>
      </c>
      <c r="B21" s="1133">
        <f>309+1018+353+625</f>
        <v>2305</v>
      </c>
      <c r="C21" s="1133">
        <f>1525+1698+1083+1669</f>
        <v>5975</v>
      </c>
      <c r="D21" s="1133">
        <f>135+1013+723+736</f>
        <v>2607</v>
      </c>
      <c r="E21" s="1133">
        <f>607+611+601+1496</f>
        <v>3315</v>
      </c>
      <c r="F21" s="1133">
        <f>1949+1315+1518+3163</f>
        <v>7945</v>
      </c>
      <c r="G21" s="1133">
        <f>3+11+4+19</f>
        <v>37</v>
      </c>
      <c r="H21" s="1133">
        <f>1179+621+787+1858</f>
        <v>4445</v>
      </c>
      <c r="I21" s="1134">
        <f>SUM(B21:H21)</f>
        <v>26629</v>
      </c>
      <c r="J21" s="1133">
        <v>432</v>
      </c>
      <c r="K21" s="1133"/>
      <c r="L21" s="1133">
        <v>0</v>
      </c>
      <c r="M21" s="1133">
        <f>459+138+256+339</f>
        <v>1192</v>
      </c>
      <c r="N21" s="1135">
        <f>+M21+L21+K21+J21</f>
        <v>1624</v>
      </c>
      <c r="O21" s="1136">
        <f>+N21+I21</f>
        <v>28253</v>
      </c>
      <c r="P21" s="348"/>
      <c r="Q21" s="348"/>
    </row>
    <row r="22" spans="1:18" ht="23.25">
      <c r="A22" s="1205" t="s">
        <v>235</v>
      </c>
      <c r="B22" s="1206">
        <f t="shared" ref="B22:O22" si="3">SUM(B6:B21)</f>
        <v>67133</v>
      </c>
      <c r="C22" s="1206">
        <f t="shared" si="3"/>
        <v>139863</v>
      </c>
      <c r="D22" s="1206">
        <f t="shared" si="3"/>
        <v>19848</v>
      </c>
      <c r="E22" s="1206">
        <f t="shared" si="3"/>
        <v>135316</v>
      </c>
      <c r="F22" s="1206">
        <f t="shared" si="3"/>
        <v>202080</v>
      </c>
      <c r="G22" s="1206">
        <f t="shared" si="3"/>
        <v>6247</v>
      </c>
      <c r="H22" s="1206">
        <f t="shared" si="3"/>
        <v>92430</v>
      </c>
      <c r="I22" s="1206">
        <f t="shared" si="3"/>
        <v>662917</v>
      </c>
      <c r="J22" s="1206">
        <f t="shared" si="3"/>
        <v>15191</v>
      </c>
      <c r="K22" s="1206">
        <f t="shared" si="3"/>
        <v>0</v>
      </c>
      <c r="L22" s="1206">
        <f>SUM(L6:L21)</f>
        <v>14</v>
      </c>
      <c r="M22" s="1206">
        <f t="shared" si="3"/>
        <v>77954</v>
      </c>
      <c r="N22" s="1206">
        <f>SUM(N6:N21)</f>
        <v>93159</v>
      </c>
      <c r="O22" s="1207">
        <f t="shared" si="3"/>
        <v>756076</v>
      </c>
      <c r="P22" s="337"/>
      <c r="Q22" s="337"/>
    </row>
    <row r="23" spans="1:18" ht="20.25">
      <c r="A23" s="1122" t="s">
        <v>659</v>
      </c>
      <c r="J23" s="307" t="s">
        <v>501</v>
      </c>
      <c r="P23" s="337"/>
      <c r="Q23" s="337"/>
    </row>
    <row r="24" spans="1:18" ht="23.25">
      <c r="A24" s="1121" t="s">
        <v>701</v>
      </c>
      <c r="D24" s="1045"/>
      <c r="E24" s="1043"/>
      <c r="F24" s="1044"/>
      <c r="G24" s="348"/>
      <c r="P24" s="337"/>
      <c r="Q24" s="337"/>
    </row>
    <row r="25" spans="1:18" s="376" customFormat="1" ht="18">
      <c r="A25" s="1123" t="s">
        <v>702</v>
      </c>
      <c r="B25" s="1043"/>
      <c r="C25" s="1043"/>
      <c r="D25" s="1043"/>
      <c r="E25" s="1043"/>
      <c r="F25" s="1043"/>
      <c r="G25" s="1043"/>
      <c r="H25" s="1043"/>
      <c r="P25" s="1043"/>
      <c r="Q25" s="1043"/>
    </row>
    <row r="26" spans="1:18" s="376" customFormat="1" ht="18">
      <c r="A26" s="1123" t="s">
        <v>703</v>
      </c>
      <c r="B26" s="1043"/>
      <c r="C26" s="1043"/>
      <c r="D26" s="1043"/>
      <c r="E26" s="1043"/>
      <c r="F26" s="1043"/>
      <c r="G26" s="1043"/>
      <c r="H26" s="1043"/>
      <c r="P26" s="1043"/>
      <c r="Q26" s="1043"/>
    </row>
    <row r="27" spans="1:18" s="376" customFormat="1" ht="18">
      <c r="A27" s="1123" t="s">
        <v>704</v>
      </c>
      <c r="B27" s="1043"/>
      <c r="C27" s="1043"/>
      <c r="D27" s="1043"/>
      <c r="E27" s="1043"/>
      <c r="F27" s="1043"/>
      <c r="G27" s="1043"/>
      <c r="H27" s="1043"/>
    </row>
    <row r="28" spans="1:18" s="376" customFormat="1" ht="18">
      <c r="A28" s="1123" t="s">
        <v>705</v>
      </c>
      <c r="B28" s="1043"/>
      <c r="C28" s="1043"/>
      <c r="D28" s="1043"/>
      <c r="E28" s="1124"/>
      <c r="F28" s="1124"/>
      <c r="G28" s="1043"/>
      <c r="H28" s="1043"/>
      <c r="N28" s="1125"/>
      <c r="O28" s="1126"/>
    </row>
    <row r="29" spans="1:18">
      <c r="A29" s="349"/>
      <c r="E29" s="350"/>
      <c r="F29" s="350"/>
      <c r="N29" s="339"/>
      <c r="O29" s="341"/>
    </row>
    <row r="30" spans="1:18">
      <c r="E30" s="350"/>
      <c r="F30" s="350"/>
      <c r="K30" s="339"/>
    </row>
    <row r="31" spans="1:18">
      <c r="E31" s="350"/>
      <c r="F31" s="350"/>
      <c r="K31" s="339"/>
    </row>
    <row r="32" spans="1:18">
      <c r="E32" s="350"/>
      <c r="F32" s="350"/>
      <c r="N32" s="339"/>
    </row>
    <row r="33" spans="5:15">
      <c r="E33" s="350"/>
      <c r="F33" s="350"/>
      <c r="K33" s="339"/>
      <c r="N33" s="339"/>
      <c r="O33" s="339"/>
    </row>
    <row r="34" spans="5:15">
      <c r="F34" s="350"/>
      <c r="I34" s="339"/>
      <c r="J34" s="339"/>
    </row>
    <row r="35" spans="5:15">
      <c r="F35" s="350"/>
      <c r="K35" s="339"/>
      <c r="O35" s="339"/>
    </row>
    <row r="36" spans="5:15">
      <c r="E36" s="350"/>
      <c r="F36" s="350"/>
      <c r="K36" s="339"/>
      <c r="O36" s="339"/>
    </row>
    <row r="37" spans="5:15">
      <c r="E37" s="351"/>
      <c r="F37" s="351"/>
      <c r="G37" s="352"/>
      <c r="H37" s="352"/>
      <c r="I37" s="343"/>
      <c r="J37" s="343"/>
      <c r="K37" s="343"/>
      <c r="L37" s="342"/>
      <c r="M37" s="342"/>
      <c r="N37" s="342"/>
      <c r="O37" s="342"/>
    </row>
    <row r="38" spans="5:15">
      <c r="E38" s="350"/>
      <c r="F38" s="350"/>
      <c r="K38" s="339"/>
      <c r="N38" s="339"/>
      <c r="O38" s="33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3">
    <tabColor rgb="FF0070C0"/>
    <pageSetUpPr fitToPage="1"/>
  </sheetPr>
  <dimension ref="A1:Q37"/>
  <sheetViews>
    <sheetView showGridLines="0" view="pageBreakPreview" zoomScale="85" zoomScaleNormal="40" zoomScaleSheetLayoutView="85" workbookViewId="0">
      <pane xSplit="1" ySplit="4" topLeftCell="B5" activePane="bottomRight" state="frozen"/>
      <selection pane="bottomRight" activeCell="B20" sqref="B20"/>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40" customFormat="1" ht="57" customHeight="1">
      <c r="A1" s="2181" t="s">
        <v>706</v>
      </c>
      <c r="B1" s="2181"/>
      <c r="C1" s="2181"/>
      <c r="D1" s="2181"/>
      <c r="E1" s="2181"/>
      <c r="F1" s="2181"/>
      <c r="G1" s="2181"/>
      <c r="H1" s="2181"/>
      <c r="I1" s="2181"/>
      <c r="J1" s="2181"/>
      <c r="K1" s="2181"/>
      <c r="L1" s="2181"/>
      <c r="M1" s="2181"/>
      <c r="N1" s="2181"/>
      <c r="O1" s="2181"/>
    </row>
    <row r="2" spans="1:17" s="540" customFormat="1" ht="30" customHeight="1">
      <c r="A2" s="2129" t="str">
        <f>+'III.5.9.Trasp. recibidos'!A2:O2</f>
        <v>Período:  Diciembre 2010 - Abril 2025</v>
      </c>
      <c r="B2" s="2129"/>
      <c r="C2" s="2129"/>
      <c r="D2" s="2129"/>
      <c r="E2" s="2129"/>
      <c r="F2" s="2129"/>
      <c r="G2" s="2129"/>
      <c r="H2" s="2129"/>
      <c r="I2" s="2129"/>
      <c r="J2" s="2129"/>
      <c r="K2" s="2129"/>
      <c r="L2" s="2129"/>
      <c r="M2" s="2129"/>
      <c r="N2" s="2129"/>
      <c r="O2" s="2129"/>
      <c r="Q2"/>
    </row>
    <row r="3" spans="1:17" ht="30" customHeight="1">
      <c r="A3" s="2182" t="s">
        <v>707</v>
      </c>
      <c r="B3" s="2183"/>
      <c r="C3" s="2183"/>
      <c r="D3" s="2183"/>
      <c r="E3" s="2183"/>
      <c r="F3" s="2183"/>
      <c r="G3" s="2183"/>
      <c r="H3" s="2183"/>
      <c r="I3" s="2183"/>
      <c r="J3" s="2183"/>
      <c r="K3" s="2183"/>
      <c r="L3" s="2183"/>
      <c r="M3" s="2183"/>
      <c r="N3" s="2183"/>
      <c r="O3" s="2184"/>
    </row>
    <row r="4" spans="1:17" s="543" customFormat="1" ht="47.25" customHeight="1">
      <c r="A4" s="580" t="s">
        <v>562</v>
      </c>
      <c r="B4" s="801" t="s">
        <v>687</v>
      </c>
      <c r="C4" s="801" t="s">
        <v>688</v>
      </c>
      <c r="D4" s="564" t="s">
        <v>689</v>
      </c>
      <c r="E4" s="564" t="s">
        <v>690</v>
      </c>
      <c r="F4" s="564" t="s">
        <v>691</v>
      </c>
      <c r="G4" s="573" t="s">
        <v>692</v>
      </c>
      <c r="H4" s="564" t="s">
        <v>693</v>
      </c>
      <c r="I4" s="564" t="s">
        <v>708</v>
      </c>
      <c r="J4" s="564" t="s">
        <v>709</v>
      </c>
      <c r="K4" s="573" t="s">
        <v>710</v>
      </c>
      <c r="L4" s="564" t="s">
        <v>217</v>
      </c>
      <c r="M4" s="573" t="s">
        <v>694</v>
      </c>
      <c r="N4" s="573" t="s">
        <v>698</v>
      </c>
      <c r="O4" s="574" t="s">
        <v>699</v>
      </c>
    </row>
    <row r="5" spans="1:17" s="575" customFormat="1" ht="15" customHeight="1">
      <c r="A5" s="795" t="s">
        <v>462</v>
      </c>
      <c r="B5" s="796">
        <v>0</v>
      </c>
      <c r="C5" s="796">
        <v>2869</v>
      </c>
      <c r="D5" s="796">
        <v>0</v>
      </c>
      <c r="E5" s="796">
        <v>2345</v>
      </c>
      <c r="F5" s="796">
        <v>3608</v>
      </c>
      <c r="G5" s="796">
        <v>22</v>
      </c>
      <c r="H5" s="796">
        <v>1752</v>
      </c>
      <c r="I5" s="797">
        <f t="shared" ref="I5:I20" si="0">SUM(B5:H5)</f>
        <v>10596</v>
      </c>
      <c r="J5" s="798">
        <v>0</v>
      </c>
      <c r="K5" s="798">
        <v>5</v>
      </c>
      <c r="L5" s="798">
        <v>43</v>
      </c>
      <c r="M5" s="798">
        <v>0</v>
      </c>
      <c r="N5" s="799">
        <f t="shared" ref="N5:N20" si="1">SUM(J5:M5)</f>
        <v>48</v>
      </c>
      <c r="O5" s="800">
        <f t="shared" ref="O5:O20" si="2">I5+N5</f>
        <v>10644</v>
      </c>
    </row>
    <row r="6" spans="1:17" s="575" customFormat="1" ht="15" customHeight="1">
      <c r="A6" s="795" t="s">
        <v>463</v>
      </c>
      <c r="B6" s="796">
        <v>0</v>
      </c>
      <c r="C6" s="796">
        <v>2173</v>
      </c>
      <c r="D6" s="796">
        <v>0</v>
      </c>
      <c r="E6" s="796">
        <v>1603</v>
      </c>
      <c r="F6" s="796">
        <v>1068</v>
      </c>
      <c r="G6" s="796">
        <v>23</v>
      </c>
      <c r="H6" s="796">
        <v>1337</v>
      </c>
      <c r="I6" s="797">
        <f t="shared" si="0"/>
        <v>6204</v>
      </c>
      <c r="J6" s="798">
        <v>0</v>
      </c>
      <c r="K6" s="798">
        <v>23</v>
      </c>
      <c r="L6" s="798">
        <v>41</v>
      </c>
      <c r="M6" s="798">
        <v>0</v>
      </c>
      <c r="N6" s="799">
        <f t="shared" si="1"/>
        <v>64</v>
      </c>
      <c r="O6" s="800">
        <f t="shared" si="2"/>
        <v>6268</v>
      </c>
    </row>
    <row r="7" spans="1:17" s="575" customFormat="1" ht="15" customHeight="1">
      <c r="A7" s="795" t="s">
        <v>464</v>
      </c>
      <c r="B7" s="796">
        <v>0</v>
      </c>
      <c r="C7" s="796">
        <v>3381</v>
      </c>
      <c r="D7" s="796">
        <v>0</v>
      </c>
      <c r="E7" s="796">
        <v>2631</v>
      </c>
      <c r="F7" s="796">
        <v>1755</v>
      </c>
      <c r="G7" s="796">
        <v>39</v>
      </c>
      <c r="H7" s="796">
        <v>2221</v>
      </c>
      <c r="I7" s="797">
        <f t="shared" si="0"/>
        <v>10027</v>
      </c>
      <c r="J7" s="798">
        <v>0</v>
      </c>
      <c r="K7" s="798">
        <v>3</v>
      </c>
      <c r="L7" s="798">
        <v>16</v>
      </c>
      <c r="M7" s="798">
        <v>0</v>
      </c>
      <c r="N7" s="799">
        <f t="shared" si="1"/>
        <v>19</v>
      </c>
      <c r="O7" s="800">
        <f t="shared" si="2"/>
        <v>10046</v>
      </c>
    </row>
    <row r="8" spans="1:17" s="575" customFormat="1" ht="15" customHeight="1">
      <c r="A8" s="795" t="s">
        <v>465</v>
      </c>
      <c r="B8" s="796">
        <v>0</v>
      </c>
      <c r="C8" s="796">
        <v>5417</v>
      </c>
      <c r="D8" s="796">
        <v>0</v>
      </c>
      <c r="E8" s="796">
        <v>3642</v>
      </c>
      <c r="F8" s="796">
        <v>3099</v>
      </c>
      <c r="G8" s="796">
        <v>33</v>
      </c>
      <c r="H8" s="796">
        <v>3510</v>
      </c>
      <c r="I8" s="797">
        <f t="shared" si="0"/>
        <v>15701</v>
      </c>
      <c r="J8" s="798">
        <v>0</v>
      </c>
      <c r="K8" s="798">
        <v>7</v>
      </c>
      <c r="L8" s="798">
        <v>32</v>
      </c>
      <c r="M8" s="798">
        <v>0</v>
      </c>
      <c r="N8" s="799">
        <f t="shared" si="1"/>
        <v>39</v>
      </c>
      <c r="O8" s="800">
        <f t="shared" si="2"/>
        <v>15740</v>
      </c>
    </row>
    <row r="9" spans="1:17" s="575" customFormat="1" ht="15" customHeight="1">
      <c r="A9" s="795" t="s">
        <v>466</v>
      </c>
      <c r="B9" s="796">
        <v>0</v>
      </c>
      <c r="C9" s="796">
        <v>11143</v>
      </c>
      <c r="D9" s="796">
        <v>0</v>
      </c>
      <c r="E9" s="796">
        <v>7753</v>
      </c>
      <c r="F9" s="796">
        <v>7468</v>
      </c>
      <c r="G9" s="796">
        <v>107</v>
      </c>
      <c r="H9" s="796">
        <v>5850</v>
      </c>
      <c r="I9" s="797">
        <f t="shared" si="0"/>
        <v>32321</v>
      </c>
      <c r="J9" s="798">
        <v>7</v>
      </c>
      <c r="K9" s="798">
        <v>5</v>
      </c>
      <c r="L9" s="798">
        <v>32</v>
      </c>
      <c r="M9" s="798">
        <v>0</v>
      </c>
      <c r="N9" s="799">
        <f t="shared" si="1"/>
        <v>44</v>
      </c>
      <c r="O9" s="800">
        <f t="shared" si="2"/>
        <v>32365</v>
      </c>
    </row>
    <row r="10" spans="1:17" s="575" customFormat="1" ht="15" customHeight="1">
      <c r="A10" s="795" t="s">
        <v>467</v>
      </c>
      <c r="B10" s="796">
        <v>0</v>
      </c>
      <c r="C10" s="796">
        <v>14572</v>
      </c>
      <c r="D10" s="796">
        <v>0</v>
      </c>
      <c r="E10" s="796">
        <v>10453</v>
      </c>
      <c r="F10" s="796">
        <v>8284</v>
      </c>
      <c r="G10" s="796">
        <v>192</v>
      </c>
      <c r="H10" s="796">
        <v>8960</v>
      </c>
      <c r="I10" s="797">
        <f t="shared" si="0"/>
        <v>42461</v>
      </c>
      <c r="J10" s="798">
        <v>90</v>
      </c>
      <c r="K10" s="798">
        <v>2</v>
      </c>
      <c r="L10" s="798">
        <v>37</v>
      </c>
      <c r="M10" s="798">
        <v>0</v>
      </c>
      <c r="N10" s="799">
        <f t="shared" si="1"/>
        <v>129</v>
      </c>
      <c r="O10" s="800">
        <f t="shared" si="2"/>
        <v>42590</v>
      </c>
    </row>
    <row r="11" spans="1:17" s="575" customFormat="1" ht="15" customHeight="1">
      <c r="A11" s="795" t="s">
        <v>468</v>
      </c>
      <c r="B11" s="796">
        <v>1</v>
      </c>
      <c r="C11" s="796">
        <v>25447</v>
      </c>
      <c r="D11" s="796">
        <v>0</v>
      </c>
      <c r="E11" s="796">
        <v>17688</v>
      </c>
      <c r="F11" s="796">
        <v>7993</v>
      </c>
      <c r="G11" s="796">
        <v>430</v>
      </c>
      <c r="H11" s="796">
        <v>13415</v>
      </c>
      <c r="I11" s="797">
        <f t="shared" si="0"/>
        <v>64974</v>
      </c>
      <c r="J11" s="798">
        <v>96</v>
      </c>
      <c r="K11" s="798">
        <v>0</v>
      </c>
      <c r="L11" s="798">
        <v>7</v>
      </c>
      <c r="M11" s="798">
        <v>0</v>
      </c>
      <c r="N11" s="799">
        <f t="shared" si="1"/>
        <v>103</v>
      </c>
      <c r="O11" s="800">
        <f t="shared" si="2"/>
        <v>65077</v>
      </c>
    </row>
    <row r="12" spans="1:17" s="575" customFormat="1" ht="15" customHeight="1">
      <c r="A12" s="795" t="s">
        <v>469</v>
      </c>
      <c r="B12" s="796">
        <v>1141</v>
      </c>
      <c r="C12" s="796">
        <v>31376</v>
      </c>
      <c r="D12" s="796">
        <v>0</v>
      </c>
      <c r="E12" s="796">
        <v>20913</v>
      </c>
      <c r="F12" s="796">
        <v>9213</v>
      </c>
      <c r="G12" s="796">
        <v>257</v>
      </c>
      <c r="H12" s="796">
        <v>17231</v>
      </c>
      <c r="I12" s="797">
        <f t="shared" si="0"/>
        <v>80131</v>
      </c>
      <c r="J12" s="798">
        <v>104</v>
      </c>
      <c r="K12" s="798">
        <v>4</v>
      </c>
      <c r="L12" s="798">
        <v>11</v>
      </c>
      <c r="M12" s="798">
        <v>267</v>
      </c>
      <c r="N12" s="799">
        <f t="shared" si="1"/>
        <v>386</v>
      </c>
      <c r="O12" s="800">
        <f t="shared" si="2"/>
        <v>80517</v>
      </c>
    </row>
    <row r="13" spans="1:17" s="575" customFormat="1" ht="15" customHeight="1">
      <c r="A13" s="795" t="s">
        <v>617</v>
      </c>
      <c r="B13" s="796">
        <v>4086</v>
      </c>
      <c r="C13" s="796">
        <v>31118</v>
      </c>
      <c r="D13" s="796">
        <v>6</v>
      </c>
      <c r="E13" s="796">
        <v>19850</v>
      </c>
      <c r="F13" s="796">
        <v>8259</v>
      </c>
      <c r="G13" s="796">
        <v>195</v>
      </c>
      <c r="H13" s="796">
        <v>18879</v>
      </c>
      <c r="I13" s="797">
        <f t="shared" si="0"/>
        <v>82393</v>
      </c>
      <c r="J13" s="798">
        <v>120</v>
      </c>
      <c r="K13" s="798">
        <v>50</v>
      </c>
      <c r="L13" s="798">
        <v>5</v>
      </c>
      <c r="M13" s="798">
        <v>144</v>
      </c>
      <c r="N13" s="799">
        <f t="shared" si="1"/>
        <v>319</v>
      </c>
      <c r="O13" s="800">
        <f t="shared" si="2"/>
        <v>82712</v>
      </c>
    </row>
    <row r="14" spans="1:17" s="575" customFormat="1" ht="15" customHeight="1">
      <c r="A14" s="795" t="s">
        <v>618</v>
      </c>
      <c r="B14" s="796">
        <v>4144</v>
      </c>
      <c r="C14" s="796">
        <v>28073</v>
      </c>
      <c r="D14" s="796">
        <v>152</v>
      </c>
      <c r="E14" s="796">
        <v>23841</v>
      </c>
      <c r="F14" s="796">
        <v>10417</v>
      </c>
      <c r="G14" s="796">
        <v>212</v>
      </c>
      <c r="H14" s="796">
        <v>20749</v>
      </c>
      <c r="I14" s="797">
        <f t="shared" si="0"/>
        <v>87588</v>
      </c>
      <c r="J14" s="798">
        <v>18</v>
      </c>
      <c r="K14" s="798">
        <v>9</v>
      </c>
      <c r="L14" s="798">
        <v>302</v>
      </c>
      <c r="M14" s="798">
        <v>108</v>
      </c>
      <c r="N14" s="799">
        <f t="shared" si="1"/>
        <v>437</v>
      </c>
      <c r="O14" s="800">
        <f t="shared" si="2"/>
        <v>88025</v>
      </c>
    </row>
    <row r="15" spans="1:17" s="575" customFormat="1" ht="15" customHeight="1">
      <c r="A15" s="795" t="s">
        <v>537</v>
      </c>
      <c r="B15" s="796">
        <v>2517</v>
      </c>
      <c r="C15" s="796">
        <v>5967</v>
      </c>
      <c r="D15" s="796">
        <v>160</v>
      </c>
      <c r="E15" s="796">
        <v>5615</v>
      </c>
      <c r="F15" s="796">
        <v>3890</v>
      </c>
      <c r="G15" s="796">
        <v>84</v>
      </c>
      <c r="H15" s="796">
        <v>4984</v>
      </c>
      <c r="I15" s="797">
        <f t="shared" si="0"/>
        <v>23217</v>
      </c>
      <c r="J15" s="798">
        <v>15</v>
      </c>
      <c r="K15" s="798">
        <v>5</v>
      </c>
      <c r="L15" s="798">
        <v>208</v>
      </c>
      <c r="M15" s="798">
        <v>38</v>
      </c>
      <c r="N15" s="799">
        <f t="shared" si="1"/>
        <v>266</v>
      </c>
      <c r="O15" s="800">
        <f t="shared" si="2"/>
        <v>23483</v>
      </c>
    </row>
    <row r="16" spans="1:17" s="575" customFormat="1" ht="15" customHeight="1">
      <c r="A16" s="1091" t="s">
        <v>700</v>
      </c>
      <c r="B16" s="1092">
        <v>2856</v>
      </c>
      <c r="C16" s="1092">
        <v>10077</v>
      </c>
      <c r="D16" s="1092">
        <v>412</v>
      </c>
      <c r="E16" s="1092">
        <v>9305</v>
      </c>
      <c r="F16" s="1092">
        <v>5337</v>
      </c>
      <c r="G16" s="1092">
        <v>141</v>
      </c>
      <c r="H16" s="1092">
        <v>6784</v>
      </c>
      <c r="I16" s="797">
        <f t="shared" si="0"/>
        <v>34912</v>
      </c>
      <c r="J16" s="1093">
        <v>4</v>
      </c>
      <c r="K16" s="1093">
        <v>23</v>
      </c>
      <c r="L16" s="1093">
        <v>314</v>
      </c>
      <c r="M16" s="1093">
        <v>54</v>
      </c>
      <c r="N16" s="799">
        <f t="shared" si="1"/>
        <v>395</v>
      </c>
      <c r="O16" s="800">
        <f t="shared" si="2"/>
        <v>35307</v>
      </c>
    </row>
    <row r="17" spans="1:15" s="575" customFormat="1" ht="15" customHeight="1">
      <c r="A17" s="1091" t="s">
        <v>569</v>
      </c>
      <c r="B17" s="1092">
        <v>3210</v>
      </c>
      <c r="C17" s="1092">
        <v>17694</v>
      </c>
      <c r="D17" s="1092">
        <v>903</v>
      </c>
      <c r="E17" s="1092">
        <v>18230</v>
      </c>
      <c r="F17" s="1092">
        <v>9583</v>
      </c>
      <c r="G17" s="1092">
        <v>192</v>
      </c>
      <c r="H17" s="1092">
        <v>12249</v>
      </c>
      <c r="I17" s="1258">
        <f t="shared" si="0"/>
        <v>62061</v>
      </c>
      <c r="J17" s="1093">
        <v>5</v>
      </c>
      <c r="K17" s="1093">
        <v>15</v>
      </c>
      <c r="L17" s="1093">
        <v>217</v>
      </c>
      <c r="M17" s="1093">
        <v>91</v>
      </c>
      <c r="N17" s="1259">
        <f t="shared" si="1"/>
        <v>328</v>
      </c>
      <c r="O17" s="1260">
        <f t="shared" si="2"/>
        <v>62389</v>
      </c>
    </row>
    <row r="18" spans="1:15" s="575" customFormat="1" ht="15" customHeight="1">
      <c r="A18" s="1091" t="s">
        <v>570</v>
      </c>
      <c r="B18" s="1092">
        <v>5005</v>
      </c>
      <c r="C18" s="1092">
        <v>23793</v>
      </c>
      <c r="D18" s="1092">
        <v>2712</v>
      </c>
      <c r="E18" s="1092">
        <v>23171</v>
      </c>
      <c r="F18" s="1092">
        <v>9605</v>
      </c>
      <c r="G18" s="1092">
        <v>183</v>
      </c>
      <c r="H18" s="1092">
        <v>16780</v>
      </c>
      <c r="I18" s="1258">
        <f t="shared" si="0"/>
        <v>81249</v>
      </c>
      <c r="J18" s="1093">
        <v>10</v>
      </c>
      <c r="K18" s="1093">
        <v>8</v>
      </c>
      <c r="L18" s="1093">
        <v>308</v>
      </c>
      <c r="M18" s="1093">
        <v>61</v>
      </c>
      <c r="N18" s="1259">
        <f t="shared" si="1"/>
        <v>387</v>
      </c>
      <c r="O18" s="1260">
        <f t="shared" si="2"/>
        <v>81636</v>
      </c>
    </row>
    <row r="19" spans="1:15" s="575" customFormat="1" ht="15" customHeight="1">
      <c r="A19" s="1127" t="s">
        <v>476</v>
      </c>
      <c r="B19" s="1092">
        <v>6403</v>
      </c>
      <c r="C19" s="1092">
        <v>24488</v>
      </c>
      <c r="D19" s="1092">
        <v>2721</v>
      </c>
      <c r="E19" s="1092">
        <v>26385</v>
      </c>
      <c r="F19" s="1092">
        <v>11866</v>
      </c>
      <c r="G19" s="1092">
        <v>235</v>
      </c>
      <c r="H19" s="1092">
        <v>18542</v>
      </c>
      <c r="I19" s="1258">
        <v>90640</v>
      </c>
      <c r="J19" s="1093">
        <v>1</v>
      </c>
      <c r="K19" s="1093">
        <v>8</v>
      </c>
      <c r="L19" s="1093">
        <v>325</v>
      </c>
      <c r="M19" s="1093">
        <v>40</v>
      </c>
      <c r="N19" s="1259">
        <v>374</v>
      </c>
      <c r="O19" s="1260">
        <v>91014</v>
      </c>
    </row>
    <row r="20" spans="1:15" s="577" customFormat="1" ht="15" customHeight="1">
      <c r="A20" s="1127" t="str">
        <f>+'III.5.8.Traspasos anual'!A22</f>
        <v>Abr.2025</v>
      </c>
      <c r="B20" s="1092">
        <f>377+748+380+280</f>
        <v>1785</v>
      </c>
      <c r="C20" s="1092">
        <f>1672+2407+1709+3225</f>
        <v>9013</v>
      </c>
      <c r="D20" s="1092">
        <f>92+525+256+355</f>
        <v>1228</v>
      </c>
      <c r="E20" s="1092">
        <f>2181+1441+1589+3256</f>
        <v>8467</v>
      </c>
      <c r="F20" s="1092">
        <f>566+468+867+906</f>
        <v>2807</v>
      </c>
      <c r="G20" s="1092">
        <f>19+20+19</f>
        <v>58</v>
      </c>
      <c r="H20" s="1092">
        <f>1235+793+911+1823</f>
        <v>4762</v>
      </c>
      <c r="I20" s="1258">
        <f t="shared" si="0"/>
        <v>28120</v>
      </c>
      <c r="J20" s="1093">
        <v>0</v>
      </c>
      <c r="K20" s="1093">
        <v>4</v>
      </c>
      <c r="L20" s="1093">
        <f>33+28+25+36</f>
        <v>122</v>
      </c>
      <c r="M20" s="1093">
        <f>2+5</f>
        <v>7</v>
      </c>
      <c r="N20" s="1259">
        <f t="shared" si="1"/>
        <v>133</v>
      </c>
      <c r="O20" s="1260">
        <f t="shared" si="2"/>
        <v>28253</v>
      </c>
    </row>
    <row r="21" spans="1:15" s="18" customFormat="1" ht="15.75">
      <c r="A21" s="1595" t="s">
        <v>235</v>
      </c>
      <c r="B21" s="1596">
        <f t="shared" ref="B21:O21" si="3">SUM(B5:B20)</f>
        <v>31148</v>
      </c>
      <c r="C21" s="1596">
        <f t="shared" si="3"/>
        <v>246601</v>
      </c>
      <c r="D21" s="1596">
        <f t="shared" si="3"/>
        <v>8294</v>
      </c>
      <c r="E21" s="1596">
        <f t="shared" si="3"/>
        <v>201892</v>
      </c>
      <c r="F21" s="1596">
        <f t="shared" si="3"/>
        <v>104252</v>
      </c>
      <c r="G21" s="1596">
        <f t="shared" si="3"/>
        <v>2403</v>
      </c>
      <c r="H21" s="1596">
        <f t="shared" si="3"/>
        <v>158005</v>
      </c>
      <c r="I21" s="1596">
        <f t="shared" si="3"/>
        <v>752595</v>
      </c>
      <c r="J21" s="1596">
        <f t="shared" si="3"/>
        <v>470</v>
      </c>
      <c r="K21" s="1596">
        <f t="shared" si="3"/>
        <v>171</v>
      </c>
      <c r="L21" s="1596">
        <f t="shared" si="3"/>
        <v>2020</v>
      </c>
      <c r="M21" s="1596">
        <f t="shared" si="3"/>
        <v>810</v>
      </c>
      <c r="N21" s="1596">
        <f t="shared" si="3"/>
        <v>3471</v>
      </c>
      <c r="O21" s="1596">
        <f t="shared" si="3"/>
        <v>756066</v>
      </c>
    </row>
    <row r="22" spans="1:15" s="18" customFormat="1">
      <c r="A22" s="1415" t="s">
        <v>659</v>
      </c>
    </row>
    <row r="23" spans="1:15" s="18" customFormat="1">
      <c r="A23"/>
      <c r="B23"/>
      <c r="C23"/>
      <c r="D23"/>
      <c r="E23"/>
      <c r="F23"/>
      <c r="G23"/>
      <c r="H23"/>
      <c r="I23"/>
      <c r="J23"/>
      <c r="K23"/>
      <c r="L23"/>
      <c r="M23"/>
      <c r="N23"/>
      <c r="O23"/>
    </row>
    <row r="24" spans="1:15" ht="19.5" customHeight="1"/>
    <row r="25" spans="1:15" ht="18" customHeight="1"/>
    <row r="35" spans="4:4">
      <c r="D35" s="1166"/>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5">
    <tabColor rgb="FF0070C0"/>
    <pageSetUpPr fitToPage="1"/>
  </sheetPr>
  <dimension ref="A1:R40"/>
  <sheetViews>
    <sheetView showGridLines="0" view="pageBreakPreview" zoomScale="55" zoomScaleNormal="70" zoomScaleSheetLayoutView="55" workbookViewId="0">
      <pane xSplit="1" ySplit="3" topLeftCell="B6" activePane="bottomRight" state="frozen"/>
      <selection pane="bottomRight" activeCell="N22" sqref="N22"/>
      <selection pane="bottomLeft" activeCell="G9" sqref="G9"/>
      <selection pane="topRight" activeCell="G9" sqref="G9"/>
    </sheetView>
  </sheetViews>
  <sheetFormatPr defaultColWidth="11.42578125" defaultRowHeight="15"/>
  <cols>
    <col min="1" max="1" width="27.5703125" style="229" customWidth="1"/>
    <col min="2" max="2" width="24.85546875" style="229" customWidth="1"/>
    <col min="3" max="3" width="22" style="229" customWidth="1"/>
    <col min="4" max="4" width="23.7109375" style="229" bestFit="1" customWidth="1"/>
    <col min="5" max="9" width="19.85546875" style="229" customWidth="1"/>
    <col min="10" max="10" width="23.28515625" style="229" customWidth="1"/>
    <col min="11" max="11" width="26.140625" style="229" customWidth="1"/>
    <col min="12" max="12" width="25" style="229" customWidth="1"/>
    <col min="13" max="13" width="23.85546875" style="229" customWidth="1"/>
    <col min="14" max="14" width="26.5703125" style="229" customWidth="1"/>
    <col min="15" max="15" width="13.28515625" style="157" bestFit="1" customWidth="1"/>
    <col min="16" max="16" width="20.7109375" customWidth="1"/>
  </cols>
  <sheetData>
    <row r="1" spans="1:17" s="540" customFormat="1" ht="69.75" customHeight="1">
      <c r="A1" s="2185" t="s">
        <v>711</v>
      </c>
      <c r="B1" s="2185"/>
      <c r="C1" s="2185"/>
      <c r="D1" s="2185"/>
      <c r="E1" s="2185"/>
      <c r="F1" s="2185"/>
      <c r="G1" s="2185"/>
      <c r="H1" s="2185"/>
      <c r="I1" s="2185"/>
      <c r="J1" s="2185"/>
      <c r="K1" s="2185"/>
      <c r="L1" s="2185"/>
      <c r="M1" s="2185"/>
      <c r="N1" s="2185"/>
      <c r="O1" s="2185"/>
      <c r="P1" s="2185"/>
    </row>
    <row r="2" spans="1:17" s="540" customFormat="1" ht="29.25" customHeight="1">
      <c r="A2" s="2185" t="str">
        <f>+'III.5.10.Trasp. cedidos'!A2:O2</f>
        <v>Período:  Diciembre 2010 - Abril 2025</v>
      </c>
      <c r="B2" s="2185"/>
      <c r="C2" s="2185"/>
      <c r="D2" s="2185"/>
      <c r="E2" s="2185"/>
      <c r="F2" s="2185"/>
      <c r="G2" s="2185"/>
      <c r="H2" s="2185"/>
      <c r="I2" s="2185"/>
      <c r="J2" s="2185"/>
      <c r="K2" s="2185"/>
      <c r="L2" s="2185"/>
      <c r="M2" s="2185"/>
      <c r="N2" s="2185"/>
      <c r="O2" s="2185"/>
      <c r="P2" s="2185"/>
    </row>
    <row r="3" spans="1:17" ht="10.5" customHeight="1">
      <c r="A3" s="2186"/>
      <c r="B3" s="2186"/>
      <c r="C3" s="2186"/>
      <c r="D3" s="2186"/>
      <c r="E3" s="2186"/>
      <c r="F3" s="2186"/>
      <c r="G3" s="2186"/>
      <c r="H3" s="2186"/>
      <c r="I3" s="2186"/>
      <c r="J3" s="2186"/>
      <c r="K3" s="2186"/>
      <c r="L3" s="2186"/>
      <c r="M3" s="2186"/>
      <c r="N3" s="2186"/>
      <c r="O3" s="2186"/>
      <c r="P3" s="2186"/>
    </row>
    <row r="4" spans="1:17" s="18" customFormat="1" ht="38.25" customHeight="1">
      <c r="A4" s="2187" t="s">
        <v>712</v>
      </c>
      <c r="B4" s="2188"/>
      <c r="C4" s="2188"/>
      <c r="D4" s="2188"/>
      <c r="E4" s="2188"/>
      <c r="F4" s="2188"/>
      <c r="G4" s="2188"/>
      <c r="H4" s="2188"/>
      <c r="I4" s="2188"/>
      <c r="J4" s="2188"/>
      <c r="K4" s="2188"/>
      <c r="L4" s="2188"/>
      <c r="M4" s="2188"/>
      <c r="N4" s="2189"/>
      <c r="O4" s="157"/>
      <c r="P4"/>
      <c r="Q4" s="128"/>
    </row>
    <row r="5" spans="1:17" s="807" customFormat="1" ht="63.75" customHeight="1">
      <c r="A5" s="802" t="s">
        <v>371</v>
      </c>
      <c r="B5" s="802" t="s">
        <v>687</v>
      </c>
      <c r="C5" s="802" t="s">
        <v>688</v>
      </c>
      <c r="D5" s="802" t="s">
        <v>689</v>
      </c>
      <c r="E5" s="802" t="s">
        <v>690</v>
      </c>
      <c r="F5" s="802" t="s">
        <v>691</v>
      </c>
      <c r="G5" s="803" t="s">
        <v>692</v>
      </c>
      <c r="H5" s="802" t="s">
        <v>693</v>
      </c>
      <c r="I5" s="802" t="s">
        <v>235</v>
      </c>
      <c r="J5" s="803" t="s">
        <v>694</v>
      </c>
      <c r="K5" s="803" t="s">
        <v>695</v>
      </c>
      <c r="L5" s="803" t="s">
        <v>696</v>
      </c>
      <c r="M5" s="803" t="s">
        <v>697</v>
      </c>
      <c r="N5" s="803" t="s">
        <v>699</v>
      </c>
      <c r="O5" s="804"/>
      <c r="P5" s="805"/>
      <c r="Q5" s="806"/>
    </row>
    <row r="6" spans="1:17" s="814" customFormat="1" ht="25.5" customHeight="1">
      <c r="A6" s="808" t="s">
        <v>462</v>
      </c>
      <c r="B6" s="809">
        <f>+Tabla18[[#This Row],[Atlántico]]-'III.5.10.Trasp. cedidos'!B5</f>
        <v>0</v>
      </c>
      <c r="C6" s="809">
        <f>+Tabla18[[#This Row],[Crecer]]-'III.5.10.Trasp. cedidos'!C5</f>
        <v>-2753</v>
      </c>
      <c r="D6" s="809">
        <f>+Tabla18[[#This Row],[JMMB-BDI]]-'III.5.10.Trasp. cedidos'!D5</f>
        <v>0</v>
      </c>
      <c r="E6" s="809">
        <f>+Tabla18[[#This Row],[Popular]]-'III.5.10.Trasp. cedidos'!E5</f>
        <v>-1840</v>
      </c>
      <c r="F6" s="809">
        <f>+Tabla18[[#This Row],[Reservas]]-'III.5.10.Trasp. cedidos'!F5</f>
        <v>-1137</v>
      </c>
      <c r="G6" s="809">
        <f>+Tabla18[[#This Row],[Romana]]-'III.5.10.Trasp. cedidos'!G5</f>
        <v>-20</v>
      </c>
      <c r="H6" s="809">
        <f>+Tabla18[[#This Row],[Siembra]]-'III.5.10.Trasp. cedidos'!H5</f>
        <v>-1627</v>
      </c>
      <c r="I6" s="810">
        <f t="shared" ref="I6:I21" si="0">SUM(B6:H6)</f>
        <v>-7377</v>
      </c>
      <c r="J6" s="811">
        <f>+Tabla18[[#This Row],[Ministerio de Hacienda]]-'III.5.10.Trasp. cedidos'!M5</f>
        <v>4114</v>
      </c>
      <c r="K6" s="811">
        <f>+Tabla18[[#This Row],[Plan  Sustitutivo del Banco Central]]-'III.5.10.Trasp. cedidos'!J5</f>
        <v>0</v>
      </c>
      <c r="L6" s="811">
        <f>+Tabla18[[#This Row],[Plan  Sustitutivo del Banco de Reservas]]-'III.5.10.Trasp. cedidos'!K5</f>
        <v>-4</v>
      </c>
      <c r="M6" s="811">
        <f>+Tabla18[[#This Row],[Plan Sustitutivo INABIMA]]-'III.5.10.Trasp. cedidos'!L5</f>
        <v>3267</v>
      </c>
      <c r="N6" s="810">
        <f t="shared" ref="N6:N21" si="1">SUM(J6:M6)</f>
        <v>7377</v>
      </c>
      <c r="O6" s="812"/>
      <c r="P6" s="64"/>
      <c r="Q6" s="813"/>
    </row>
    <row r="7" spans="1:17" s="814" customFormat="1" ht="25.5" customHeight="1">
      <c r="A7" s="808" t="s">
        <v>463</v>
      </c>
      <c r="B7" s="809">
        <f>+Tabla18[[#This Row],[Atlántico]]-'III.5.10.Trasp. cedidos'!B6</f>
        <v>0</v>
      </c>
      <c r="C7" s="809">
        <f>+Tabla18[[#This Row],[Crecer]]-'III.5.10.Trasp. cedidos'!C6</f>
        <v>-1867</v>
      </c>
      <c r="D7" s="809">
        <f>+Tabla18[[#This Row],[JMMB-BDI]]-'III.5.10.Trasp. cedidos'!D6</f>
        <v>0</v>
      </c>
      <c r="E7" s="809">
        <f>+Tabla18[[#This Row],[Popular]]-'III.5.10.Trasp. cedidos'!E6</f>
        <v>-1031</v>
      </c>
      <c r="F7" s="809">
        <f>+Tabla18[[#This Row],[Reservas]]-'III.5.10.Trasp. cedidos'!F6</f>
        <v>2090</v>
      </c>
      <c r="G7" s="809">
        <f>+Tabla18[[#This Row],[Romana]]-'III.5.10.Trasp. cedidos'!G6</f>
        <v>-15</v>
      </c>
      <c r="H7" s="809">
        <f>+Tabla18[[#This Row],[Siembra]]-'III.5.10.Trasp. cedidos'!H6</f>
        <v>-1090</v>
      </c>
      <c r="I7" s="810">
        <f t="shared" si="0"/>
        <v>-1913</v>
      </c>
      <c r="J7" s="811">
        <f>+Tabla18[[#This Row],[Ministerio de Hacienda]]-'III.5.10.Trasp. cedidos'!M6</f>
        <v>199</v>
      </c>
      <c r="K7" s="811">
        <f>+Tabla18[[#This Row],[Plan  Sustitutivo del Banco Central]]-'III.5.10.Trasp. cedidos'!J6</f>
        <v>0</v>
      </c>
      <c r="L7" s="811">
        <f>+Tabla18[[#This Row],[Plan  Sustitutivo del Banco de Reservas]]-'III.5.10.Trasp. cedidos'!K6</f>
        <v>-23</v>
      </c>
      <c r="M7" s="811">
        <f>+Tabla18[[#This Row],[Plan Sustitutivo INABIMA]]-'III.5.10.Trasp. cedidos'!L6</f>
        <v>1737</v>
      </c>
      <c r="N7" s="810">
        <f t="shared" si="1"/>
        <v>1913</v>
      </c>
      <c r="O7" s="812"/>
      <c r="P7" s="64"/>
      <c r="Q7" s="813"/>
    </row>
    <row r="8" spans="1:17" s="814" customFormat="1" ht="25.5" customHeight="1">
      <c r="A8" s="808" t="s">
        <v>464</v>
      </c>
      <c r="B8" s="809">
        <f>+Tabla18[[#This Row],[Atlántico]]-'III.5.10.Trasp. cedidos'!B7</f>
        <v>0</v>
      </c>
      <c r="C8" s="809">
        <f>+Tabla18[[#This Row],[Crecer]]-'III.5.10.Trasp. cedidos'!C7</f>
        <v>-2359</v>
      </c>
      <c r="D8" s="809">
        <f>+Tabla18[[#This Row],[JMMB-BDI]]-'III.5.10.Trasp. cedidos'!D7</f>
        <v>0</v>
      </c>
      <c r="E8" s="809">
        <f>+Tabla18[[#This Row],[Popular]]-'III.5.10.Trasp. cedidos'!E7</f>
        <v>-1617</v>
      </c>
      <c r="F8" s="809">
        <f>+Tabla18[[#This Row],[Reservas]]-'III.5.10.Trasp. cedidos'!F7</f>
        <v>1986</v>
      </c>
      <c r="G8" s="809">
        <f>+Tabla18[[#This Row],[Romana]]-'III.5.10.Trasp. cedidos'!G7</f>
        <v>-28</v>
      </c>
      <c r="H8" s="809">
        <f>+Tabla18[[#This Row],[Siembra]]-'III.5.10.Trasp. cedidos'!H7</f>
        <v>-1438</v>
      </c>
      <c r="I8" s="810">
        <f t="shared" si="0"/>
        <v>-3456</v>
      </c>
      <c r="J8" s="811">
        <f>+Tabla18[[#This Row],[Ministerio de Hacienda]]-'III.5.10.Trasp. cedidos'!M7</f>
        <v>17</v>
      </c>
      <c r="K8" s="811">
        <f>+Tabla18[[#This Row],[Plan  Sustitutivo del Banco Central]]-'III.5.10.Trasp. cedidos'!J7</f>
        <v>0</v>
      </c>
      <c r="L8" s="811">
        <f>+Tabla18[[#This Row],[Plan  Sustitutivo del Banco de Reservas]]-'III.5.10.Trasp. cedidos'!K7</f>
        <v>-2</v>
      </c>
      <c r="M8" s="811">
        <f>+Tabla18[[#This Row],[Plan Sustitutivo INABIMA]]-'III.5.10.Trasp. cedidos'!L7</f>
        <v>3441</v>
      </c>
      <c r="N8" s="810">
        <f t="shared" si="1"/>
        <v>3456</v>
      </c>
      <c r="O8" s="812"/>
      <c r="P8" s="64"/>
      <c r="Q8" s="813"/>
    </row>
    <row r="9" spans="1:17" s="814" customFormat="1" ht="25.5" customHeight="1">
      <c r="A9" s="808" t="s">
        <v>465</v>
      </c>
      <c r="B9" s="809">
        <f>+Tabla18[[#This Row],[Atlántico]]-'III.5.10.Trasp. cedidos'!B8</f>
        <v>0</v>
      </c>
      <c r="C9" s="809">
        <f>+Tabla18[[#This Row],[Crecer]]-'III.5.10.Trasp. cedidos'!C8</f>
        <v>-3839</v>
      </c>
      <c r="D9" s="809">
        <f>+Tabla18[[#This Row],[JMMB-BDI]]-'III.5.10.Trasp. cedidos'!D8</f>
        <v>0</v>
      </c>
      <c r="E9" s="809">
        <f>+Tabla18[[#This Row],[Popular]]-'III.5.10.Trasp. cedidos'!E8</f>
        <v>-2160</v>
      </c>
      <c r="F9" s="809">
        <f>+Tabla18[[#This Row],[Reservas]]-'III.5.10.Trasp. cedidos'!F8</f>
        <v>4515</v>
      </c>
      <c r="G9" s="809">
        <f>+Tabla18[[#This Row],[Romana]]-'III.5.10.Trasp. cedidos'!G8</f>
        <v>-26</v>
      </c>
      <c r="H9" s="809">
        <f>+Tabla18[[#This Row],[Siembra]]-'III.5.10.Trasp. cedidos'!H8</f>
        <v>-2232</v>
      </c>
      <c r="I9" s="810">
        <f t="shared" si="0"/>
        <v>-3742</v>
      </c>
      <c r="J9" s="811">
        <f>+Tabla18[[#This Row],[Ministerio de Hacienda]]-'III.5.10.Trasp. cedidos'!M8</f>
        <v>1532</v>
      </c>
      <c r="K9" s="811">
        <f>+Tabla18[[#This Row],[Plan  Sustitutivo del Banco Central]]-'III.5.10.Trasp. cedidos'!J8</f>
        <v>0</v>
      </c>
      <c r="L9" s="811">
        <f>+Tabla18[[#This Row],[Plan  Sustitutivo del Banco de Reservas]]-'III.5.10.Trasp. cedidos'!K8</f>
        <v>-7</v>
      </c>
      <c r="M9" s="811">
        <f>+Tabla18[[#This Row],[Plan Sustitutivo INABIMA]]-'III.5.10.Trasp. cedidos'!L8</f>
        <v>2217</v>
      </c>
      <c r="N9" s="810">
        <f t="shared" si="1"/>
        <v>3742</v>
      </c>
      <c r="O9" s="812"/>
      <c r="P9" s="64"/>
      <c r="Q9" s="813"/>
    </row>
    <row r="10" spans="1:17" s="814" customFormat="1" ht="25.5" customHeight="1">
      <c r="A10" s="808" t="s">
        <v>466</v>
      </c>
      <c r="B10" s="809">
        <f>+Tabla18[[#This Row],[Atlántico]]-'III.5.10.Trasp. cedidos'!B9</f>
        <v>0</v>
      </c>
      <c r="C10" s="809">
        <f>+Tabla18[[#This Row],[Crecer]]-'III.5.10.Trasp. cedidos'!C9</f>
        <v>-6830</v>
      </c>
      <c r="D10" s="809">
        <f>+Tabla18[[#This Row],[JMMB-BDI]]-'III.5.10.Trasp. cedidos'!D9</f>
        <v>0</v>
      </c>
      <c r="E10" s="809">
        <f>+Tabla18[[#This Row],[Popular]]-'III.5.10.Trasp. cedidos'!E9</f>
        <v>-5285</v>
      </c>
      <c r="F10" s="809">
        <f>+Tabla18[[#This Row],[Reservas]]-'III.5.10.Trasp. cedidos'!F9</f>
        <v>7338</v>
      </c>
      <c r="G10" s="809">
        <f>+Tabla18[[#This Row],[Romana]]-'III.5.10.Trasp. cedidos'!G9</f>
        <v>661</v>
      </c>
      <c r="H10" s="809">
        <f>+Tabla18[[#This Row],[Siembra]]-'III.5.10.Trasp. cedidos'!H9</f>
        <v>-3337</v>
      </c>
      <c r="I10" s="810">
        <f t="shared" si="0"/>
        <v>-7453</v>
      </c>
      <c r="J10" s="811">
        <f>+Tabla18[[#This Row],[Ministerio de Hacienda]]-'III.5.10.Trasp. cedidos'!M9</f>
        <v>462</v>
      </c>
      <c r="K10" s="811">
        <f>+Tabla18[[#This Row],[Plan  Sustitutivo del Banco Central]]-'III.5.10.Trasp. cedidos'!J9</f>
        <v>-7</v>
      </c>
      <c r="L10" s="811">
        <f>+Tabla18[[#This Row],[Plan  Sustitutivo del Banco de Reservas]]-'III.5.10.Trasp. cedidos'!K9</f>
        <v>-5</v>
      </c>
      <c r="M10" s="811">
        <f>+Tabla18[[#This Row],[Plan Sustitutivo INABIMA]]-'III.5.10.Trasp. cedidos'!L9</f>
        <v>7003</v>
      </c>
      <c r="N10" s="810">
        <f t="shared" si="1"/>
        <v>7453</v>
      </c>
      <c r="O10" s="812"/>
      <c r="P10" s="64"/>
      <c r="Q10" s="813"/>
    </row>
    <row r="11" spans="1:17" s="814" customFormat="1" ht="25.5" customHeight="1">
      <c r="A11" s="808" t="s">
        <v>467</v>
      </c>
      <c r="B11" s="809">
        <f>+Tabla18[[#This Row],[Atlántico]]-'III.5.10.Trasp. cedidos'!B10</f>
        <v>0</v>
      </c>
      <c r="C11" s="809">
        <f>+Tabla18[[#This Row],[Crecer]]-'III.5.10.Trasp. cedidos'!C10</f>
        <v>-8701</v>
      </c>
      <c r="D11" s="809">
        <f>+Tabla18[[#This Row],[JMMB-BDI]]-'III.5.10.Trasp. cedidos'!D10</f>
        <v>0</v>
      </c>
      <c r="E11" s="809">
        <f>+Tabla18[[#This Row],[Popular]]-'III.5.10.Trasp. cedidos'!E10</f>
        <v>-5475</v>
      </c>
      <c r="F11" s="809">
        <f>+Tabla18[[#This Row],[Reservas]]-'III.5.10.Trasp. cedidos'!F10</f>
        <v>12142</v>
      </c>
      <c r="G11" s="809">
        <f>+Tabla18[[#This Row],[Romana]]-'III.5.10.Trasp. cedidos'!G10</f>
        <v>850</v>
      </c>
      <c r="H11" s="809">
        <f>+Tabla18[[#This Row],[Siembra]]-'III.5.10.Trasp. cedidos'!H10</f>
        <v>-4673</v>
      </c>
      <c r="I11" s="810">
        <f t="shared" si="0"/>
        <v>-5857</v>
      </c>
      <c r="J11" s="811">
        <f>+Tabla18[[#This Row],[Ministerio de Hacienda]]-'III.5.10.Trasp. cedidos'!M10</f>
        <v>426</v>
      </c>
      <c r="K11" s="811">
        <f>+Tabla18[[#This Row],[Plan  Sustitutivo del Banco Central]]-'III.5.10.Trasp. cedidos'!J10</f>
        <v>-90</v>
      </c>
      <c r="L11" s="811">
        <f>+Tabla18[[#This Row],[Plan  Sustitutivo del Banco de Reservas]]-'III.5.10.Trasp. cedidos'!K10</f>
        <v>9</v>
      </c>
      <c r="M11" s="811">
        <f>+Tabla18[[#This Row],[Plan Sustitutivo INABIMA]]-'III.5.10.Trasp. cedidos'!L10</f>
        <v>5512</v>
      </c>
      <c r="N11" s="810">
        <f t="shared" si="1"/>
        <v>5857</v>
      </c>
      <c r="O11" s="812"/>
      <c r="P11" s="64"/>
      <c r="Q11" s="813"/>
    </row>
    <row r="12" spans="1:17" s="814" customFormat="1" ht="25.5" customHeight="1">
      <c r="A12" s="808" t="s">
        <v>468</v>
      </c>
      <c r="B12" s="809">
        <f>+Tabla18[[#This Row],[Atlántico]]-'III.5.10.Trasp. cedidos'!B11</f>
        <v>11382</v>
      </c>
      <c r="C12" s="809">
        <f>+Tabla18[[#This Row],[Crecer]]-'III.5.10.Trasp. cedidos'!C11</f>
        <v>-15432</v>
      </c>
      <c r="D12" s="809">
        <f>+Tabla18[[#This Row],[JMMB-BDI]]-'III.5.10.Trasp. cedidos'!D11</f>
        <v>0</v>
      </c>
      <c r="E12" s="809">
        <f>+Tabla18[[#This Row],[Popular]]-'III.5.10.Trasp. cedidos'!E11</f>
        <v>-7636</v>
      </c>
      <c r="F12" s="809">
        <f>+Tabla18[[#This Row],[Reservas]]-'III.5.10.Trasp. cedidos'!F11</f>
        <v>14268</v>
      </c>
      <c r="G12" s="809">
        <f>+Tabla18[[#This Row],[Romana]]-'III.5.10.Trasp. cedidos'!G11</f>
        <v>310</v>
      </c>
      <c r="H12" s="809">
        <f>+Tabla18[[#This Row],[Siembra]]-'III.5.10.Trasp. cedidos'!H11</f>
        <v>-5670</v>
      </c>
      <c r="I12" s="810">
        <f t="shared" si="0"/>
        <v>-2778</v>
      </c>
      <c r="J12" s="811">
        <f>+Tabla18[[#This Row],[Ministerio de Hacienda]]-'III.5.10.Trasp. cedidos'!M11</f>
        <v>725</v>
      </c>
      <c r="K12" s="811">
        <f>+Tabla18[[#This Row],[Plan  Sustitutivo del Banco Central]]-'III.5.10.Trasp. cedidos'!J11</f>
        <v>-96</v>
      </c>
      <c r="L12" s="811">
        <f>+Tabla18[[#This Row],[Plan  Sustitutivo del Banco de Reservas]]-'III.5.10.Trasp. cedidos'!K11</f>
        <v>0</v>
      </c>
      <c r="M12" s="811">
        <f>+Tabla18[[#This Row],[Plan Sustitutivo INABIMA]]-'III.5.10.Trasp. cedidos'!L11</f>
        <v>2149</v>
      </c>
      <c r="N12" s="810">
        <f t="shared" si="1"/>
        <v>2778</v>
      </c>
      <c r="O12" s="812"/>
      <c r="P12" s="64"/>
      <c r="Q12" s="813"/>
    </row>
    <row r="13" spans="1:17" s="814" customFormat="1" ht="25.5" customHeight="1">
      <c r="A13" s="808" t="s">
        <v>469</v>
      </c>
      <c r="B13" s="809">
        <f>+Tabla18[[#This Row],[Atlántico]]-'III.5.10.Trasp. cedidos'!B12</f>
        <v>12537</v>
      </c>
      <c r="C13" s="809">
        <f>+Tabla18[[#This Row],[Crecer]]-'III.5.10.Trasp. cedidos'!C12</f>
        <v>-21288</v>
      </c>
      <c r="D13" s="809">
        <f>+Tabla18[[#This Row],[JMMB-BDI]]-'III.5.10.Trasp. cedidos'!D12</f>
        <v>287</v>
      </c>
      <c r="E13" s="809">
        <f>+Tabla18[[#This Row],[Popular]]-'III.5.10.Trasp. cedidos'!E12</f>
        <v>-2211</v>
      </c>
      <c r="F13" s="809">
        <f>+Tabla18[[#This Row],[Reservas]]-'III.5.10.Trasp. cedidos'!F12</f>
        <v>10167</v>
      </c>
      <c r="G13" s="809">
        <f>+Tabla18[[#This Row],[Romana]]-'III.5.10.Trasp. cedidos'!G12</f>
        <v>796</v>
      </c>
      <c r="H13" s="809">
        <f>+Tabla18[[#This Row],[Siembra]]-'III.5.10.Trasp. cedidos'!H12</f>
        <v>-6496</v>
      </c>
      <c r="I13" s="810">
        <f t="shared" si="0"/>
        <v>-6208</v>
      </c>
      <c r="J13" s="811">
        <f>+Tabla18[[#This Row],[Ministerio de Hacienda]]-'III.5.10.Trasp. cedidos'!M12</f>
        <v>605</v>
      </c>
      <c r="K13" s="811">
        <f>+Tabla18[[#This Row],[Plan  Sustitutivo del Banco Central]]-'III.5.10.Trasp. cedidos'!J12</f>
        <v>-104</v>
      </c>
      <c r="L13" s="811">
        <f>+Tabla18[[#This Row],[Plan  Sustitutivo del Banco de Reservas]]-'III.5.10.Trasp. cedidos'!K12</f>
        <v>-4</v>
      </c>
      <c r="M13" s="811">
        <f>+Tabla18[[#This Row],[Plan Sustitutivo INABIMA]]-'III.5.10.Trasp. cedidos'!L12</f>
        <v>5711</v>
      </c>
      <c r="N13" s="810">
        <f t="shared" si="1"/>
        <v>6208</v>
      </c>
      <c r="O13" s="812"/>
      <c r="P13" s="64"/>
    </row>
    <row r="14" spans="1:17" s="814" customFormat="1" ht="25.5" customHeight="1">
      <c r="A14" s="808" t="s">
        <v>470</v>
      </c>
      <c r="B14" s="809">
        <f>+Tabla18[[#This Row],[Atlántico]]-'III.5.10.Trasp. cedidos'!B13</f>
        <v>578</v>
      </c>
      <c r="C14" s="809">
        <f>+Tabla18[[#This Row],[Crecer]]-'III.5.10.Trasp. cedidos'!C13</f>
        <v>-16631</v>
      </c>
      <c r="D14" s="809">
        <f>+Tabla18[[#This Row],[JMMB-BDI]]-'III.5.10.Trasp. cedidos'!D13</f>
        <v>2541</v>
      </c>
      <c r="E14" s="809">
        <f>+Tabla18[[#This Row],[Popular]]-'III.5.10.Trasp. cedidos'!E13</f>
        <v>6599</v>
      </c>
      <c r="F14" s="809">
        <f>+Tabla18[[#This Row],[Reservas]]-'III.5.10.Trasp. cedidos'!F13</f>
        <v>13594</v>
      </c>
      <c r="G14" s="809">
        <f>+Tabla18[[#This Row],[Romana]]-'III.5.10.Trasp. cedidos'!G13</f>
        <v>470</v>
      </c>
      <c r="H14" s="809">
        <f>+Tabla18[[#This Row],[Siembra]]-'III.5.10.Trasp. cedidos'!H13</f>
        <v>-8894</v>
      </c>
      <c r="I14" s="810">
        <f t="shared" si="0"/>
        <v>-1743</v>
      </c>
      <c r="J14" s="811">
        <f>+Tabla18[[#This Row],[Ministerio de Hacienda]]-'III.5.10.Trasp. cedidos'!M13</f>
        <v>60</v>
      </c>
      <c r="K14" s="811">
        <f>+Tabla18[[#This Row],[Plan  Sustitutivo del Banco Central]]-'III.5.10.Trasp. cedidos'!J13</f>
        <v>-120</v>
      </c>
      <c r="L14" s="811">
        <f>+Tabla18[[#This Row],[Plan  Sustitutivo del Banco de Reservas]]-'III.5.10.Trasp. cedidos'!K13</f>
        <v>-50</v>
      </c>
      <c r="M14" s="811">
        <f>+Tabla18[[#This Row],[Plan Sustitutivo INABIMA]]-'III.5.10.Trasp. cedidos'!L13</f>
        <v>1853</v>
      </c>
      <c r="N14" s="810">
        <f t="shared" si="1"/>
        <v>1743</v>
      </c>
      <c r="O14" s="812"/>
      <c r="P14" s="64"/>
      <c r="Q14" s="813"/>
    </row>
    <row r="15" spans="1:17" s="814" customFormat="1" ht="25.5" customHeight="1">
      <c r="A15" s="808" t="s">
        <v>471</v>
      </c>
      <c r="B15" s="809">
        <f>+Tabla18[[#This Row],[Atlántico]]-'III.5.10.Trasp. cedidos'!B14</f>
        <v>1650</v>
      </c>
      <c r="C15" s="809">
        <f>+Tabla18[[#This Row],[Crecer]]-'III.5.10.Trasp. cedidos'!C14</f>
        <v>-3737</v>
      </c>
      <c r="D15" s="809">
        <f>+Tabla18[[#This Row],[JMMB-BDI]]-'III.5.10.Trasp. cedidos'!D14</f>
        <v>3097</v>
      </c>
      <c r="E15" s="809">
        <f>+Tabla18[[#This Row],[Popular]]-'III.5.10.Trasp. cedidos'!E14</f>
        <v>-4949</v>
      </c>
      <c r="F15" s="809">
        <f>+Tabla18[[#This Row],[Reservas]]-'III.5.10.Trasp. cedidos'!F14</f>
        <v>9404</v>
      </c>
      <c r="G15" s="809">
        <f>+Tabla18[[#This Row],[Romana]]-'III.5.10.Trasp. cedidos'!G14</f>
        <v>184</v>
      </c>
      <c r="H15" s="809">
        <f>+Tabla18[[#This Row],[Siembra]]-'III.5.10.Trasp. cedidos'!H14</f>
        <v>-10163</v>
      </c>
      <c r="I15" s="810">
        <f t="shared" si="0"/>
        <v>-4514</v>
      </c>
      <c r="J15" s="811">
        <f>+Tabla18[[#This Row],[Ministerio de Hacienda]]-'III.5.10.Trasp. cedidos'!M14</f>
        <v>208</v>
      </c>
      <c r="K15" s="811">
        <f>+Tabla18[[#This Row],[Plan  Sustitutivo del Banco Central]]-'III.5.10.Trasp. cedidos'!J14</f>
        <v>-18</v>
      </c>
      <c r="L15" s="811">
        <f>+Tabla18[[#This Row],[Plan  Sustitutivo del Banco de Reservas]]-'III.5.10.Trasp. cedidos'!K14</f>
        <v>-9</v>
      </c>
      <c r="M15" s="811">
        <f>+Tabla18[[#This Row],[Plan Sustitutivo INABIMA]]-'III.5.10.Trasp. cedidos'!L14</f>
        <v>4333</v>
      </c>
      <c r="N15" s="810">
        <f t="shared" si="1"/>
        <v>4514</v>
      </c>
      <c r="O15" s="812"/>
      <c r="P15" s="64"/>
      <c r="Q15" s="813"/>
    </row>
    <row r="16" spans="1:17" s="134" customFormat="1" ht="25.5" customHeight="1">
      <c r="A16" s="808" t="s">
        <v>472</v>
      </c>
      <c r="B16" s="809">
        <f>+Tabla18[[#This Row],[Atlántico]]-'III.5.10.Trasp. cedidos'!B15</f>
        <v>1785</v>
      </c>
      <c r="C16" s="809">
        <f>+Tabla18[[#This Row],[Crecer]]-'III.5.10.Trasp. cedidos'!C15</f>
        <v>456</v>
      </c>
      <c r="D16" s="809">
        <f>+Tabla18[[#This Row],[JMMB-BDI]]-'III.5.10.Trasp. cedidos'!D15</f>
        <v>617</v>
      </c>
      <c r="E16" s="809">
        <f>+Tabla18[[#This Row],[Popular]]-'III.5.10.Trasp. cedidos'!E15</f>
        <v>-2569</v>
      </c>
      <c r="F16" s="1261">
        <f>+Tabla18[[#This Row],[Reservas]]-'III.5.10.Trasp. cedidos'!F15</f>
        <v>2844</v>
      </c>
      <c r="G16" s="1261">
        <f>+Tabla18[[#This Row],[Romana]]-'III.5.10.Trasp. cedidos'!G15</f>
        <v>13</v>
      </c>
      <c r="H16" s="1261">
        <f>+Tabla18[[#This Row],[Siembra]]-'III.5.10.Trasp. cedidos'!H15</f>
        <v>-3431</v>
      </c>
      <c r="I16" s="1262">
        <f t="shared" si="0"/>
        <v>-285</v>
      </c>
      <c r="J16" s="811">
        <f>+Tabla18[[#This Row],[Ministerio de Hacienda]]-'III.5.10.Trasp. cedidos'!M15</f>
        <v>423</v>
      </c>
      <c r="K16" s="811">
        <f>+Tabla18[[#This Row],[Plan  Sustitutivo del Banco Central]]-'III.5.10.Trasp. cedidos'!J15</f>
        <v>-15</v>
      </c>
      <c r="L16" s="811">
        <f>+Tabla18[[#This Row],[Plan  Sustitutivo del Banco de Reservas]]-'III.5.10.Trasp. cedidos'!K15</f>
        <v>-5</v>
      </c>
      <c r="M16" s="811">
        <f>+Tabla18[[#This Row],[Plan Sustitutivo INABIMA]]-'III.5.10.Trasp. cedidos'!L15</f>
        <v>-118</v>
      </c>
      <c r="N16" s="810">
        <f t="shared" si="1"/>
        <v>285</v>
      </c>
      <c r="O16" s="812"/>
      <c r="P16" s="64"/>
      <c r="Q16" s="815"/>
    </row>
    <row r="17" spans="1:18" s="64" customFormat="1" ht="25.5" customHeight="1">
      <c r="A17" s="808" t="s">
        <v>473</v>
      </c>
      <c r="B17" s="809">
        <f>+Tabla18[[#This Row],[Atlántico]]-'III.5.10.Trasp. cedidos'!B16</f>
        <v>1312</v>
      </c>
      <c r="C17" s="809">
        <f>+Tabla18[[#This Row],[Crecer]]-'III.5.10.Trasp. cedidos'!C16</f>
        <v>-921</v>
      </c>
      <c r="D17" s="809">
        <f>+Tabla18[[#This Row],[JMMB-BDI]]-'III.5.10.Trasp. cedidos'!D16</f>
        <v>1256</v>
      </c>
      <c r="E17" s="809">
        <f>+Tabla18[[#This Row],[Popular]]-'III.5.10.Trasp. cedidos'!E16</f>
        <v>-3592</v>
      </c>
      <c r="F17" s="1261">
        <f>+Tabla18[[#This Row],[Reservas]]-'III.5.10.Trasp. cedidos'!F16</f>
        <v>2885</v>
      </c>
      <c r="G17" s="1261">
        <f>+Tabla18[[#This Row],[Romana]]-'III.5.10.Trasp. cedidos'!G16</f>
        <v>436</v>
      </c>
      <c r="H17" s="1261">
        <f>+Tabla18[[#This Row],[Siembra]]-'III.5.10.Trasp. cedidos'!H16</f>
        <v>-2145</v>
      </c>
      <c r="I17" s="1262">
        <f t="shared" si="0"/>
        <v>-769</v>
      </c>
      <c r="J17" s="811">
        <f>+Tabla18[[#This Row],[Ministerio de Hacienda]]-'III.5.10.Trasp. cedidos'!M16</f>
        <v>888</v>
      </c>
      <c r="K17" s="811">
        <f>+Tabla18[[#This Row],[Plan  Sustitutivo del Banco Central]]-'III.5.10.Trasp. cedidos'!J16</f>
        <v>-4</v>
      </c>
      <c r="L17" s="811">
        <f>+Tabla18[[#This Row],[Plan  Sustitutivo del Banco de Reservas]]-'III.5.10.Trasp. cedidos'!K16</f>
        <v>-23</v>
      </c>
      <c r="M17" s="811">
        <f>+Tabla18[[#This Row],[Plan Sustitutivo INABIMA]]-'III.5.10.Trasp. cedidos'!L16</f>
        <v>-82</v>
      </c>
      <c r="N17" s="810">
        <f t="shared" si="1"/>
        <v>779</v>
      </c>
      <c r="O17" s="812"/>
      <c r="Q17" s="816"/>
    </row>
    <row r="18" spans="1:18" s="64" customFormat="1" ht="25.5" customHeight="1">
      <c r="A18" s="808" t="s">
        <v>569</v>
      </c>
      <c r="B18" s="809">
        <f>+Tabla18[[#This Row],[Atlántico]]-'III.5.10.Trasp. cedidos'!B17</f>
        <v>1132</v>
      </c>
      <c r="C18" s="809">
        <f>+Tabla18[[#This Row],[Crecer]]-'III.5.10.Trasp. cedidos'!C17</f>
        <v>-6745</v>
      </c>
      <c r="D18" s="809">
        <f>+Tabla18[[#This Row],[JMMB-BDI]]-'III.5.10.Trasp. cedidos'!D17</f>
        <v>1539</v>
      </c>
      <c r="E18" s="809">
        <f>+Tabla18[[#This Row],[Popular]]-'III.5.10.Trasp. cedidos'!E17</f>
        <v>-10418</v>
      </c>
      <c r="F18" s="1261">
        <f>+Tabla18[[#This Row],[Reservas]]-'III.5.10.Trasp. cedidos'!F17</f>
        <v>-2220</v>
      </c>
      <c r="G18" s="1261">
        <f>+Tabla18[[#This Row],[Romana]]-'III.5.10.Trasp. cedidos'!G17</f>
        <v>128</v>
      </c>
      <c r="H18" s="1261">
        <f>+Tabla18[[#This Row],[Siembra]]-'III.5.10.Trasp. cedidos'!H17</f>
        <v>-5574</v>
      </c>
      <c r="I18" s="1262">
        <f t="shared" si="0"/>
        <v>-22158</v>
      </c>
      <c r="J18" s="811">
        <f>+Tabla18[[#This Row],[Ministerio de Hacienda]]-'III.5.10.Trasp. cedidos'!M17</f>
        <v>1066</v>
      </c>
      <c r="K18" s="811">
        <f>+Tabla18[[#This Row],[Plan  Sustitutivo del Banco Central]]-'III.5.10.Trasp. cedidos'!J17</f>
        <v>-5</v>
      </c>
      <c r="L18" s="811">
        <f>+Tabla18[[#This Row],[Plan  Sustitutivo del Banco de Reservas]]-'III.5.10.Trasp. cedidos'!K17</f>
        <v>-15</v>
      </c>
      <c r="M18" s="811">
        <f>+Tabla18[[#This Row],[Plan Sustitutivo INABIMA]]-'III.5.10.Trasp. cedidos'!L17</f>
        <v>21112</v>
      </c>
      <c r="N18" s="810">
        <f t="shared" si="1"/>
        <v>22158</v>
      </c>
      <c r="O18" s="812"/>
      <c r="Q18" s="816"/>
    </row>
    <row r="19" spans="1:18" s="64" customFormat="1" ht="25.5" customHeight="1">
      <c r="A19" s="808" t="s">
        <v>570</v>
      </c>
      <c r="B19" s="809">
        <f>+Tabla18[[#This Row],[Atlántico]]-'III.5.10.Trasp. cedidos'!B18</f>
        <v>2903</v>
      </c>
      <c r="C19" s="809">
        <f>+Tabla18[[#This Row],[Crecer]]-'III.5.10.Trasp. cedidos'!C18</f>
        <v>-8465</v>
      </c>
      <c r="D19" s="809">
        <f>+Tabla18[[#This Row],[JMMB-BDI]]-'III.5.10.Trasp. cedidos'!D18</f>
        <v>1063</v>
      </c>
      <c r="E19" s="809">
        <f>+Tabla18[[#This Row],[Popular]]-'III.5.10.Trasp. cedidos'!E18</f>
        <v>-5510</v>
      </c>
      <c r="F19" s="1261">
        <f>+Tabla18[[#This Row],[Reservas]]-'III.5.10.Trasp. cedidos'!F18</f>
        <v>4408</v>
      </c>
      <c r="G19" s="1261">
        <f>+Tabla18[[#This Row],[Romana]]-'III.5.10.Trasp. cedidos'!G18</f>
        <v>58</v>
      </c>
      <c r="H19" s="1261">
        <f>+Tabla18[[#This Row],[Siembra]]-'III.5.10.Trasp. cedidos'!H18</f>
        <v>-4855</v>
      </c>
      <c r="I19" s="1262">
        <f t="shared" si="0"/>
        <v>-10398</v>
      </c>
      <c r="J19" s="811">
        <f>+Tabla18[[#This Row],[Ministerio de Hacienda]]-'III.5.10.Trasp. cedidos'!M18</f>
        <v>795</v>
      </c>
      <c r="K19" s="811">
        <f>+Tabla18[[#This Row],[Plan  Sustitutivo del Banco Central]]-'III.5.10.Trasp. cedidos'!J18</f>
        <v>-10</v>
      </c>
      <c r="L19" s="811">
        <f>+Tabla18[[#This Row],[Plan  Sustitutivo del Banco de Reservas]]-'III.5.10.Trasp. cedidos'!K18</f>
        <v>-7</v>
      </c>
      <c r="M19" s="811">
        <f>+Tabla18[[#This Row],[Plan Sustitutivo INABIMA]]-'III.5.10.Trasp. cedidos'!L18</f>
        <v>9620</v>
      </c>
      <c r="N19" s="810">
        <f t="shared" si="1"/>
        <v>10398</v>
      </c>
      <c r="O19" s="812"/>
      <c r="Q19" s="816"/>
    </row>
    <row r="20" spans="1:18" s="64" customFormat="1" ht="25.5" customHeight="1">
      <c r="A20" s="1263" t="str">
        <f>+'III.5.8.Traspasos anual'!A21</f>
        <v>Dic. 2024</v>
      </c>
      <c r="B20" s="809">
        <f>+Tabla18[[#This Row],[Atlántico]]-'III.5.10.Trasp. cedidos'!B19</f>
        <v>2186</v>
      </c>
      <c r="C20" s="809">
        <f>+Tabla18[[#This Row],[Crecer]]-'III.5.10.Trasp. cedidos'!C19</f>
        <v>-4588</v>
      </c>
      <c r="D20" s="809">
        <f>+Tabla18[[#This Row],[JMMB-BDI]]-'III.5.10.Trasp. cedidos'!D19</f>
        <v>-225</v>
      </c>
      <c r="E20" s="809">
        <f>+Tabla18[[#This Row],[Popular]]-'III.5.10.Trasp. cedidos'!E19</f>
        <v>-13730</v>
      </c>
      <c r="F20" s="1261">
        <f>+Tabla18[[#This Row],[Reservas]]-'III.5.10.Trasp. cedidos'!F19</f>
        <v>10406</v>
      </c>
      <c r="G20" s="1261">
        <f>+Tabla18[[#This Row],[Romana]]-'III.5.10.Trasp. cedidos'!G19</f>
        <v>48</v>
      </c>
      <c r="H20" s="1261">
        <f>+Tabla18[[#This Row],[Siembra]]-'III.5.10.Trasp. cedidos'!H19</f>
        <v>-3633</v>
      </c>
      <c r="I20" s="1262">
        <f t="shared" ref="I20" si="2">SUM(B20:H20)</f>
        <v>-9536</v>
      </c>
      <c r="J20" s="811">
        <f>+Tabla18[[#This Row],[Ministerio de Hacienda]]-'III.5.10.Trasp. cedidos'!M19</f>
        <v>2436</v>
      </c>
      <c r="K20" s="811">
        <f>+Tabla18[[#This Row],[Plan  Sustitutivo del Banco Central]]-'III.5.10.Trasp. cedidos'!J19</f>
        <v>-1</v>
      </c>
      <c r="L20" s="811">
        <f>+Tabla18[[#This Row],[Plan  Sustitutivo del Banco de Reservas]]-'III.5.10.Trasp. cedidos'!K19</f>
        <v>-8</v>
      </c>
      <c r="M20" s="811">
        <f>+Tabla18[[#This Row],[Plan Sustitutivo INABIMA]]-'III.5.10.Trasp. cedidos'!L19</f>
        <v>7109</v>
      </c>
      <c r="N20" s="810">
        <f t="shared" ref="N20" si="3">SUM(J20:M20)</f>
        <v>9536</v>
      </c>
      <c r="O20" s="812"/>
      <c r="Q20" s="816"/>
    </row>
    <row r="21" spans="1:18" s="64" customFormat="1" ht="25.5" customHeight="1">
      <c r="A21" s="1263" t="str">
        <f>+'III.5.8.Traspasos anual'!A22</f>
        <v>Abr.2025</v>
      </c>
      <c r="B21" s="809">
        <f>+Tabla18[[#This Row],[Atlántico]]-'III.5.10.Trasp. cedidos'!B20</f>
        <v>520</v>
      </c>
      <c r="C21" s="809">
        <f>+Tabla18[[#This Row],[Crecer]]-'III.5.10.Trasp. cedidos'!C20</f>
        <v>-3038</v>
      </c>
      <c r="D21" s="809">
        <f>+Tabla18[[#This Row],[JMMB-BDI]]-'III.5.10.Trasp. cedidos'!D20</f>
        <v>1379</v>
      </c>
      <c r="E21" s="809">
        <f>+Tabla18[[#This Row],[Popular]]-'III.5.10.Trasp. cedidos'!E20</f>
        <v>-5152</v>
      </c>
      <c r="F21" s="1261">
        <f>+Tabla18[[#This Row],[Reservas]]-'III.5.10.Trasp. cedidos'!F20</f>
        <v>5138</v>
      </c>
      <c r="G21" s="1261">
        <f>+Tabla18[[#This Row],[Romana]]-'III.5.10.Trasp. cedidos'!G20</f>
        <v>-21</v>
      </c>
      <c r="H21" s="1261">
        <f>+Tabla18[[#This Row],[Siembra]]-'III.5.10.Trasp. cedidos'!H20</f>
        <v>-317</v>
      </c>
      <c r="I21" s="1262">
        <f t="shared" si="0"/>
        <v>-1491</v>
      </c>
      <c r="J21" s="811">
        <f>+Tabla18[[#This Row],[Ministerio de Hacienda]]-'III.5.10.Trasp. cedidos'!M20</f>
        <v>425</v>
      </c>
      <c r="K21" s="811">
        <f>+Tabla18[[#This Row],[Plan  Sustitutivo del Banco Central]]-'III.5.10.Trasp. cedidos'!J20</f>
        <v>0</v>
      </c>
      <c r="L21" s="811">
        <f>+Tabla18[[#This Row],[Plan  Sustitutivo del Banco de Reservas]]-'III.5.10.Trasp. cedidos'!K20</f>
        <v>-4</v>
      </c>
      <c r="M21" s="811">
        <f>+Tabla18[[#This Row],[Plan Sustitutivo INABIMA]]-'III.5.10.Trasp. cedidos'!L20</f>
        <v>1070</v>
      </c>
      <c r="N21" s="810">
        <f t="shared" si="1"/>
        <v>1491</v>
      </c>
      <c r="O21" s="812"/>
      <c r="P21" s="64" t="s">
        <v>713</v>
      </c>
      <c r="Q21" s="816"/>
    </row>
    <row r="22" spans="1:18" s="96" customFormat="1" ht="25.5" customHeight="1">
      <c r="A22" s="808" t="s">
        <v>235</v>
      </c>
      <c r="B22" s="817">
        <f>SUM(B6:B21)</f>
        <v>35985</v>
      </c>
      <c r="C22" s="817">
        <f t="shared" ref="C22:N22" si="4">SUM(C6:C21)</f>
        <v>-106738</v>
      </c>
      <c r="D22" s="817">
        <f t="shared" si="4"/>
        <v>11554</v>
      </c>
      <c r="E22" s="817">
        <f t="shared" si="4"/>
        <v>-66576</v>
      </c>
      <c r="F22" s="817">
        <f t="shared" si="4"/>
        <v>97828</v>
      </c>
      <c r="G22" s="817">
        <f t="shared" si="4"/>
        <v>3844</v>
      </c>
      <c r="H22" s="817">
        <f t="shared" si="4"/>
        <v>-65575</v>
      </c>
      <c r="I22" s="817">
        <f t="shared" si="4"/>
        <v>-89678</v>
      </c>
      <c r="J22" s="817">
        <f t="shared" si="4"/>
        <v>14381</v>
      </c>
      <c r="K22" s="817">
        <f t="shared" si="4"/>
        <v>-470</v>
      </c>
      <c r="L22" s="817">
        <f t="shared" si="4"/>
        <v>-157</v>
      </c>
      <c r="M22" s="817">
        <f t="shared" si="4"/>
        <v>75934</v>
      </c>
      <c r="N22" s="817">
        <f t="shared" si="4"/>
        <v>89688</v>
      </c>
      <c r="O22" s="1158"/>
      <c r="Q22" s="1159"/>
      <c r="R22" s="96" t="s">
        <v>599</v>
      </c>
    </row>
    <row r="23" spans="1:18">
      <c r="A23" s="229" t="str">
        <f>+'III.5.10.Trasp. cedidos'!A22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307"/>
    <col min="7" max="7" width="8.85546875" style="307" customWidth="1"/>
    <col min="8" max="16384" width="11.42578125" style="307"/>
  </cols>
  <sheetData>
    <row r="27" spans="14:14">
      <c r="N27" s="307" t="s">
        <v>1</v>
      </c>
    </row>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307"/>
    <col min="7" max="7" width="13.42578125" style="307" customWidth="1"/>
    <col min="8" max="8" width="15" style="307" customWidth="1"/>
    <col min="9" max="9" width="22.28515625" style="307" customWidth="1"/>
    <col min="10" max="10" width="11.42578125" style="307"/>
    <col min="11" max="11" width="31.7109375" style="307" customWidth="1"/>
    <col min="12" max="12" width="25.140625" style="307" customWidth="1"/>
    <col min="13" max="16384" width="11.42578125" style="307"/>
  </cols>
  <sheetData>
    <row r="7" spans="1:13">
      <c r="A7" s="2190" t="s">
        <v>714</v>
      </c>
      <c r="B7" s="2191"/>
      <c r="C7" s="2191"/>
      <c r="D7" s="2191"/>
      <c r="E7" s="2191"/>
      <c r="F7" s="2191"/>
      <c r="G7" s="2191"/>
      <c r="H7" s="2191"/>
      <c r="I7" s="2191"/>
      <c r="J7" s="2191"/>
      <c r="K7" s="2191"/>
      <c r="L7" s="2191"/>
      <c r="M7" s="2191"/>
    </row>
    <row r="8" spans="1:13">
      <c r="A8" s="2191"/>
      <c r="B8" s="2191"/>
      <c r="C8" s="2191"/>
      <c r="D8" s="2191"/>
      <c r="E8" s="2191"/>
      <c r="F8" s="2191"/>
      <c r="G8" s="2191"/>
      <c r="H8" s="2191"/>
      <c r="I8" s="2191"/>
      <c r="J8" s="2191"/>
      <c r="K8" s="2191"/>
      <c r="L8" s="2191"/>
      <c r="M8" s="2191"/>
    </row>
    <row r="9" spans="1:13">
      <c r="A9" s="2191"/>
      <c r="B9" s="2191"/>
      <c r="C9" s="2191"/>
      <c r="D9" s="2191"/>
      <c r="E9" s="2191"/>
      <c r="F9" s="2191"/>
      <c r="G9" s="2191"/>
      <c r="H9" s="2191"/>
      <c r="I9" s="2191"/>
      <c r="J9" s="2191"/>
      <c r="K9" s="2191"/>
      <c r="L9" s="2191"/>
      <c r="M9" s="2191"/>
    </row>
    <row r="10" spans="1:13">
      <c r="A10" s="2191"/>
      <c r="B10" s="2191"/>
      <c r="C10" s="2191"/>
      <c r="D10" s="2191"/>
      <c r="E10" s="2191"/>
      <c r="F10" s="2191"/>
      <c r="G10" s="2191"/>
      <c r="H10" s="2191"/>
      <c r="I10" s="2191"/>
      <c r="J10" s="2191"/>
      <c r="K10" s="2191"/>
      <c r="L10" s="2191"/>
      <c r="M10" s="2191"/>
    </row>
    <row r="11" spans="1:13">
      <c r="A11" s="2191"/>
      <c r="B11" s="2191"/>
      <c r="C11" s="2191"/>
      <c r="D11" s="2191"/>
      <c r="E11" s="2191"/>
      <c r="F11" s="2191"/>
      <c r="G11" s="2191"/>
      <c r="H11" s="2191"/>
      <c r="I11" s="2191"/>
      <c r="J11" s="2191"/>
      <c r="K11" s="2191"/>
      <c r="L11" s="2191"/>
      <c r="M11" s="2191"/>
    </row>
    <row r="12" spans="1:13">
      <c r="A12" s="2191"/>
      <c r="B12" s="2191"/>
      <c r="C12" s="2191"/>
      <c r="D12" s="2191"/>
      <c r="E12" s="2191"/>
      <c r="F12" s="2191"/>
      <c r="G12" s="2191"/>
      <c r="H12" s="2191"/>
      <c r="I12" s="2191"/>
      <c r="J12" s="2191"/>
      <c r="K12" s="2191"/>
      <c r="L12" s="2191"/>
      <c r="M12" s="2191"/>
    </row>
    <row r="13" spans="1:13">
      <c r="A13" s="2191"/>
      <c r="B13" s="2191"/>
      <c r="C13" s="2191"/>
      <c r="D13" s="2191"/>
      <c r="E13" s="2191"/>
      <c r="F13" s="2191"/>
      <c r="G13" s="2191"/>
      <c r="H13" s="2191"/>
      <c r="I13" s="2191"/>
      <c r="J13" s="2191"/>
      <c r="K13" s="2191"/>
      <c r="L13" s="2191"/>
      <c r="M13" s="2191"/>
    </row>
    <row r="14" spans="1:13">
      <c r="A14" s="2191"/>
      <c r="B14" s="2191"/>
      <c r="C14" s="2191"/>
      <c r="D14" s="2191"/>
      <c r="E14" s="2191"/>
      <c r="F14" s="2191"/>
      <c r="G14" s="2191"/>
      <c r="H14" s="2191"/>
      <c r="I14" s="2191"/>
      <c r="J14" s="2191"/>
      <c r="K14" s="2191"/>
      <c r="L14" s="2191"/>
      <c r="M14" s="2191"/>
    </row>
    <row r="15" spans="1:13">
      <c r="A15" s="2191"/>
      <c r="B15" s="2191"/>
      <c r="C15" s="2191"/>
      <c r="D15" s="2191"/>
      <c r="E15" s="2191"/>
      <c r="F15" s="2191"/>
      <c r="G15" s="2191"/>
      <c r="H15" s="2191"/>
      <c r="I15" s="2191"/>
      <c r="J15" s="2191"/>
      <c r="K15" s="2191"/>
      <c r="L15" s="2191"/>
      <c r="M15" s="2191"/>
    </row>
    <row r="16" spans="1:13">
      <c r="A16" s="2191"/>
      <c r="B16" s="2191"/>
      <c r="C16" s="2191"/>
      <c r="D16" s="2191"/>
      <c r="E16" s="2191"/>
      <c r="F16" s="2191"/>
      <c r="G16" s="2191"/>
      <c r="H16" s="2191"/>
      <c r="I16" s="2191"/>
      <c r="J16" s="2191"/>
      <c r="K16" s="2191"/>
      <c r="L16" s="2191"/>
      <c r="M16" s="2191"/>
    </row>
    <row r="17" spans="1:13">
      <c r="A17" s="2191"/>
      <c r="B17" s="2191"/>
      <c r="C17" s="2191"/>
      <c r="D17" s="2191"/>
      <c r="E17" s="2191"/>
      <c r="F17" s="2191"/>
      <c r="G17" s="2191"/>
      <c r="H17" s="2191"/>
      <c r="I17" s="2191"/>
      <c r="J17" s="2191"/>
      <c r="K17" s="2191"/>
      <c r="L17" s="2191"/>
      <c r="M17" s="2191"/>
    </row>
    <row r="18" spans="1:13">
      <c r="A18" s="2191"/>
      <c r="B18" s="2191"/>
      <c r="C18" s="2191"/>
      <c r="D18" s="2191"/>
      <c r="E18" s="2191"/>
      <c r="F18" s="2191"/>
      <c r="G18" s="2191"/>
      <c r="H18" s="2191"/>
      <c r="I18" s="2191"/>
      <c r="J18" s="2191"/>
      <c r="K18" s="2191"/>
      <c r="L18" s="2191"/>
      <c r="M18" s="2191"/>
    </row>
    <row r="19" spans="1:13">
      <c r="A19" s="2191"/>
      <c r="B19" s="2191"/>
      <c r="C19" s="2191"/>
      <c r="D19" s="2191"/>
      <c r="E19" s="2191"/>
      <c r="F19" s="2191"/>
      <c r="G19" s="2191"/>
      <c r="H19" s="2191"/>
      <c r="I19" s="2191"/>
      <c r="J19" s="2191"/>
      <c r="K19" s="2191"/>
      <c r="L19" s="2191"/>
      <c r="M19" s="2191"/>
    </row>
    <row r="20" spans="1:13">
      <c r="A20" s="2191"/>
      <c r="B20" s="2191"/>
      <c r="C20" s="2191"/>
      <c r="D20" s="2191"/>
      <c r="E20" s="2191"/>
      <c r="F20" s="2191"/>
      <c r="G20" s="2191"/>
      <c r="H20" s="2191"/>
      <c r="I20" s="2191"/>
      <c r="J20" s="2191"/>
      <c r="K20" s="2191"/>
      <c r="L20" s="2191"/>
      <c r="M20" s="2191"/>
    </row>
    <row r="21" spans="1:13">
      <c r="A21" s="2191"/>
      <c r="B21" s="2191"/>
      <c r="C21" s="2191"/>
      <c r="D21" s="2191"/>
      <c r="E21" s="2191"/>
      <c r="F21" s="2191"/>
      <c r="G21" s="2191"/>
      <c r="H21" s="2191"/>
      <c r="I21" s="2191"/>
      <c r="J21" s="2191"/>
      <c r="K21" s="2191"/>
      <c r="L21" s="2191"/>
      <c r="M21" s="2191"/>
    </row>
    <row r="22" spans="1:13">
      <c r="A22" s="2191"/>
      <c r="B22" s="2191"/>
      <c r="C22" s="2191"/>
      <c r="D22" s="2191"/>
      <c r="E22" s="2191"/>
      <c r="F22" s="2191"/>
      <c r="G22" s="2191"/>
      <c r="H22" s="2191"/>
      <c r="I22" s="2191"/>
      <c r="J22" s="2191"/>
      <c r="K22" s="2191"/>
      <c r="L22" s="2191"/>
      <c r="M22" s="2191"/>
    </row>
    <row r="23" spans="1:13">
      <c r="A23" s="2191"/>
      <c r="B23" s="2191"/>
      <c r="C23" s="2191"/>
      <c r="D23" s="2191"/>
      <c r="E23" s="2191"/>
      <c r="F23" s="2191"/>
      <c r="G23" s="2191"/>
      <c r="H23" s="2191"/>
      <c r="I23" s="2191"/>
      <c r="J23" s="2191"/>
      <c r="K23" s="2191"/>
      <c r="L23" s="2191"/>
      <c r="M23" s="2191"/>
    </row>
    <row r="24" spans="1:13">
      <c r="A24" s="2191"/>
      <c r="B24" s="2191"/>
      <c r="C24" s="2191"/>
      <c r="D24" s="2191"/>
      <c r="E24" s="2191"/>
      <c r="F24" s="2191"/>
      <c r="G24" s="2191"/>
      <c r="H24" s="2191"/>
      <c r="I24" s="2191"/>
      <c r="J24" s="2191"/>
      <c r="K24" s="2191"/>
      <c r="L24" s="2191"/>
      <c r="M24" s="2191"/>
    </row>
    <row r="25" spans="1:13">
      <c r="A25" s="2191"/>
      <c r="B25" s="2191"/>
      <c r="C25" s="2191"/>
      <c r="D25" s="2191"/>
      <c r="E25" s="2191"/>
      <c r="F25" s="2191"/>
      <c r="G25" s="2191"/>
      <c r="H25" s="2191"/>
      <c r="I25" s="2191"/>
      <c r="J25" s="2191"/>
      <c r="K25" s="2191"/>
      <c r="L25" s="2191"/>
      <c r="M25" s="2191"/>
    </row>
    <row r="26" spans="1:13">
      <c r="A26" s="2191"/>
      <c r="B26" s="2191"/>
      <c r="C26" s="2191"/>
      <c r="D26" s="2191"/>
      <c r="E26" s="2191"/>
      <c r="F26" s="2191"/>
      <c r="G26" s="2191"/>
      <c r="H26" s="2191"/>
      <c r="I26" s="2191"/>
      <c r="J26" s="2191"/>
      <c r="K26" s="2191"/>
      <c r="L26" s="2191"/>
      <c r="M26" s="2191"/>
    </row>
    <row r="27" spans="1:13">
      <c r="A27" s="2191"/>
      <c r="B27" s="2191"/>
      <c r="C27" s="2191"/>
      <c r="D27" s="2191"/>
      <c r="E27" s="2191"/>
      <c r="F27" s="2191"/>
      <c r="G27" s="2191"/>
      <c r="H27" s="2191"/>
      <c r="I27" s="2191"/>
      <c r="J27" s="2191"/>
      <c r="K27" s="2191"/>
      <c r="L27" s="2191"/>
      <c r="M27" s="2191"/>
    </row>
    <row r="28" spans="1:13">
      <c r="A28" s="2191"/>
      <c r="B28" s="2191"/>
      <c r="C28" s="2191"/>
      <c r="D28" s="2191"/>
      <c r="E28" s="2191"/>
      <c r="F28" s="2191"/>
      <c r="G28" s="2191"/>
      <c r="H28" s="2191"/>
      <c r="I28" s="2191"/>
      <c r="J28" s="2191"/>
      <c r="K28" s="2191"/>
      <c r="L28" s="2191"/>
      <c r="M28" s="2191"/>
    </row>
    <row r="29" spans="1:13">
      <c r="A29" s="2191"/>
      <c r="B29" s="2191"/>
      <c r="C29" s="2191"/>
      <c r="D29" s="2191"/>
      <c r="E29" s="2191"/>
      <c r="F29" s="2191"/>
      <c r="G29" s="2191"/>
      <c r="H29" s="2191"/>
      <c r="I29" s="2191"/>
      <c r="J29" s="2191"/>
      <c r="K29" s="2191"/>
      <c r="L29" s="2191"/>
      <c r="M29" s="2191"/>
    </row>
    <row r="30" spans="1:13">
      <c r="A30" s="2191"/>
      <c r="B30" s="2191"/>
      <c r="C30" s="2191"/>
      <c r="D30" s="2191"/>
      <c r="E30" s="2191"/>
      <c r="F30" s="2191"/>
      <c r="G30" s="2191"/>
      <c r="H30" s="2191"/>
      <c r="I30" s="2191"/>
      <c r="J30" s="2191"/>
      <c r="K30" s="2191"/>
      <c r="L30" s="2191"/>
      <c r="M30" s="2191"/>
    </row>
    <row r="31" spans="1:13">
      <c r="A31" s="2191"/>
      <c r="B31" s="2191"/>
      <c r="C31" s="2191"/>
      <c r="D31" s="2191"/>
      <c r="E31" s="2191"/>
      <c r="F31" s="2191"/>
      <c r="G31" s="2191"/>
      <c r="H31" s="2191"/>
      <c r="I31" s="2191"/>
      <c r="J31" s="2191"/>
      <c r="K31" s="2191"/>
      <c r="L31" s="2191"/>
      <c r="M31" s="2191"/>
    </row>
    <row r="32" spans="1:13">
      <c r="A32" s="2191"/>
      <c r="B32" s="2191"/>
      <c r="C32" s="2191"/>
      <c r="D32" s="2191"/>
      <c r="E32" s="2191"/>
      <c r="F32" s="2191"/>
      <c r="G32" s="2191"/>
      <c r="H32" s="2191"/>
      <c r="I32" s="2191"/>
      <c r="J32" s="2191"/>
      <c r="K32" s="2191"/>
      <c r="L32" s="2191"/>
      <c r="M32" s="2191"/>
    </row>
    <row r="33" spans="1:13">
      <c r="A33" s="2191"/>
      <c r="B33" s="2191"/>
      <c r="C33" s="2191"/>
      <c r="D33" s="2191"/>
      <c r="E33" s="2191"/>
      <c r="F33" s="2191"/>
      <c r="G33" s="2191"/>
      <c r="H33" s="2191"/>
      <c r="I33" s="2191"/>
      <c r="J33" s="2191"/>
      <c r="K33" s="2191"/>
      <c r="L33" s="2191"/>
      <c r="M33" s="2191"/>
    </row>
    <row r="34" spans="1:13">
      <c r="A34" s="2191"/>
      <c r="B34" s="2191"/>
      <c r="C34" s="2191"/>
      <c r="D34" s="2191"/>
      <c r="E34" s="2191"/>
      <c r="F34" s="2191"/>
      <c r="G34" s="2191"/>
      <c r="H34" s="2191"/>
      <c r="I34" s="2191"/>
      <c r="J34" s="2191"/>
      <c r="K34" s="2191"/>
      <c r="L34" s="2191"/>
      <c r="M34" s="2191"/>
    </row>
    <row r="35" spans="1:13">
      <c r="A35" s="2191"/>
      <c r="B35" s="2191"/>
      <c r="C35" s="2191"/>
      <c r="D35" s="2191"/>
      <c r="E35" s="2191"/>
      <c r="F35" s="2191"/>
      <c r="G35" s="2191"/>
      <c r="H35" s="2191"/>
      <c r="I35" s="2191"/>
      <c r="J35" s="2191"/>
      <c r="K35" s="2191"/>
      <c r="L35" s="2191"/>
      <c r="M35" s="2191"/>
    </row>
    <row r="36" spans="1:13">
      <c r="A36" s="2191"/>
      <c r="B36" s="2191"/>
      <c r="C36" s="2191"/>
      <c r="D36" s="2191"/>
      <c r="E36" s="2191"/>
      <c r="F36" s="2191"/>
      <c r="G36" s="2191"/>
      <c r="H36" s="2191"/>
      <c r="I36" s="2191"/>
      <c r="J36" s="2191"/>
      <c r="K36" s="2191"/>
      <c r="L36" s="2191"/>
      <c r="M36" s="2191"/>
    </row>
    <row r="37" spans="1:13" ht="41.25" customHeight="1">
      <c r="A37" s="2191"/>
      <c r="B37" s="2191"/>
      <c r="C37" s="2191"/>
      <c r="D37" s="2191"/>
      <c r="E37" s="2191"/>
      <c r="F37" s="2191"/>
      <c r="G37" s="2191"/>
      <c r="H37" s="2191"/>
      <c r="I37" s="2191"/>
      <c r="J37" s="2191"/>
      <c r="K37" s="2191"/>
      <c r="L37" s="2191"/>
      <c r="M37" s="2191"/>
    </row>
    <row r="38" spans="1:13">
      <c r="A38" s="2191"/>
      <c r="B38" s="2191"/>
      <c r="C38" s="2191"/>
      <c r="D38" s="2191"/>
      <c r="E38" s="2191"/>
      <c r="F38" s="2191"/>
      <c r="G38" s="2191"/>
      <c r="H38" s="2191"/>
      <c r="I38" s="2191"/>
      <c r="J38" s="2191"/>
      <c r="K38" s="2191"/>
      <c r="L38" s="2191"/>
      <c r="M38" s="2191"/>
    </row>
    <row r="39" spans="1:13">
      <c r="A39" s="2191"/>
      <c r="B39" s="2191"/>
      <c r="C39" s="2191"/>
      <c r="D39" s="2191"/>
      <c r="E39" s="2191"/>
      <c r="F39" s="2191"/>
      <c r="G39" s="2191"/>
      <c r="H39" s="2191"/>
      <c r="I39" s="2191"/>
      <c r="J39" s="2191"/>
      <c r="K39" s="2191"/>
      <c r="L39" s="2191"/>
      <c r="M39" s="2191"/>
    </row>
    <row r="40" spans="1:13">
      <c r="A40" s="2191"/>
      <c r="B40" s="2191"/>
      <c r="C40" s="2191"/>
      <c r="D40" s="2191"/>
      <c r="E40" s="2191"/>
      <c r="F40" s="2191"/>
      <c r="G40" s="2191"/>
      <c r="H40" s="2191"/>
      <c r="I40" s="2191"/>
      <c r="J40" s="2191"/>
      <c r="K40" s="2191"/>
      <c r="L40" s="2191"/>
      <c r="M40" s="2191"/>
    </row>
    <row r="41" spans="1:13">
      <c r="A41" s="2191"/>
      <c r="B41" s="2191"/>
      <c r="C41" s="2191"/>
      <c r="D41" s="2191"/>
      <c r="E41" s="2191"/>
      <c r="F41" s="2191"/>
      <c r="G41" s="2191"/>
      <c r="H41" s="2191"/>
      <c r="I41" s="2191"/>
      <c r="J41" s="2191"/>
      <c r="K41" s="2191"/>
      <c r="L41" s="2191"/>
      <c r="M41" s="2191"/>
    </row>
    <row r="42" spans="1:13">
      <c r="A42" s="2191"/>
      <c r="B42" s="2191"/>
      <c r="C42" s="2191"/>
      <c r="D42" s="2191"/>
      <c r="E42" s="2191"/>
      <c r="F42" s="2191"/>
      <c r="G42" s="2191"/>
      <c r="H42" s="2191"/>
      <c r="I42" s="2191"/>
      <c r="J42" s="2191"/>
      <c r="K42" s="2191"/>
      <c r="L42" s="2191"/>
      <c r="M42" s="2191"/>
    </row>
    <row r="43" spans="1:13">
      <c r="A43" s="2191"/>
      <c r="B43" s="2191"/>
      <c r="C43" s="2191"/>
      <c r="D43" s="2191"/>
      <c r="E43" s="2191"/>
      <c r="F43" s="2191"/>
      <c r="G43" s="2191"/>
      <c r="H43" s="2191"/>
      <c r="I43" s="2191"/>
      <c r="J43" s="2191"/>
      <c r="K43" s="2191"/>
      <c r="L43" s="2191"/>
      <c r="M43" s="2191"/>
    </row>
    <row r="44" spans="1:13" ht="60" customHeight="1">
      <c r="A44" s="2191"/>
      <c r="B44" s="2191"/>
      <c r="C44" s="2191"/>
      <c r="D44" s="2191"/>
      <c r="E44" s="2191"/>
      <c r="F44" s="2191"/>
      <c r="G44" s="2191"/>
      <c r="H44" s="2191"/>
      <c r="I44" s="2191"/>
      <c r="J44" s="2191"/>
      <c r="K44" s="2191"/>
      <c r="L44" s="2191"/>
      <c r="M44" s="2191"/>
    </row>
    <row r="45" spans="1:13">
      <c r="A45" s="2191"/>
      <c r="B45" s="2191"/>
      <c r="C45" s="2191"/>
      <c r="D45" s="2191"/>
      <c r="E45" s="2191"/>
      <c r="F45" s="2191"/>
      <c r="G45" s="2191"/>
      <c r="H45" s="2191"/>
      <c r="I45" s="2191"/>
      <c r="J45" s="2191"/>
      <c r="K45" s="2191"/>
      <c r="L45" s="2191"/>
      <c r="M45" s="2191"/>
    </row>
    <row r="46" spans="1:13">
      <c r="A46" s="2191"/>
      <c r="B46" s="2191"/>
      <c r="C46" s="2191"/>
      <c r="D46" s="2191"/>
      <c r="E46" s="2191"/>
      <c r="F46" s="2191"/>
      <c r="G46" s="2191"/>
      <c r="H46" s="2191"/>
      <c r="I46" s="2191"/>
      <c r="J46" s="2191"/>
      <c r="K46" s="2191"/>
      <c r="L46" s="2191"/>
      <c r="M46" s="2191"/>
    </row>
    <row r="47" spans="1:13" ht="73.5" customHeight="1">
      <c r="A47" s="2191"/>
      <c r="B47" s="2191"/>
      <c r="C47" s="2191"/>
      <c r="D47" s="2191"/>
      <c r="E47" s="2191"/>
      <c r="F47" s="2191"/>
      <c r="G47" s="2191"/>
      <c r="H47" s="2191"/>
      <c r="I47" s="2191"/>
      <c r="J47" s="2191"/>
      <c r="K47" s="2191"/>
      <c r="L47" s="2191"/>
      <c r="M47" s="2191"/>
    </row>
    <row r="48" spans="1:13" ht="73.5" customHeight="1">
      <c r="A48" s="2191"/>
      <c r="B48" s="2191"/>
      <c r="C48" s="2191"/>
      <c r="D48" s="2191"/>
      <c r="E48" s="2191"/>
      <c r="F48" s="2191"/>
      <c r="G48" s="2191"/>
      <c r="H48" s="2191"/>
      <c r="I48" s="2191"/>
      <c r="J48" s="2191"/>
      <c r="K48" s="2191"/>
      <c r="L48" s="2191"/>
      <c r="M48" s="2191"/>
    </row>
  </sheetData>
  <mergeCells count="1">
    <mergeCell ref="A7:M48"/>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9">
    <tabColor theme="9" tint="-0.249977111117893"/>
    <pageSetUpPr fitToPage="1"/>
  </sheetPr>
  <dimension ref="A2:Q35"/>
  <sheetViews>
    <sheetView showGridLines="0" view="pageBreakPreview" zoomScale="115" zoomScaleNormal="100" zoomScaleSheetLayoutView="115" workbookViewId="0">
      <selection activeCell="E32" sqref="E32"/>
    </sheetView>
  </sheetViews>
  <sheetFormatPr defaultColWidth="11.42578125" defaultRowHeight="14.25"/>
  <cols>
    <col min="1" max="1" width="11.42578125" style="307"/>
    <col min="2" max="2" width="22.28515625" style="307" customWidth="1"/>
    <col min="3" max="3" width="22.140625" style="307" customWidth="1"/>
    <col min="4" max="4" width="20.42578125" style="307" customWidth="1"/>
    <col min="5" max="5" width="12.85546875" style="307" customWidth="1"/>
    <col min="6" max="6" width="13.85546875" style="307" customWidth="1"/>
    <col min="7" max="7" width="14.28515625" style="307" customWidth="1"/>
    <col min="8" max="8" width="5" style="307" customWidth="1"/>
    <col min="9" max="9" width="31.42578125" style="337" customWidth="1"/>
    <col min="10" max="10" width="12.85546875" style="353" customWidth="1"/>
    <col min="11" max="12" width="7.28515625" style="307" customWidth="1"/>
    <col min="13" max="13" width="4.28515625" style="307" customWidth="1"/>
    <col min="14" max="14" width="9.85546875" style="307" customWidth="1"/>
    <col min="15" max="15" width="16.140625" style="307" customWidth="1"/>
    <col min="16" max="16384" width="11.42578125" style="307"/>
  </cols>
  <sheetData>
    <row r="2" spans="1:16">
      <c r="I2" s="1374"/>
    </row>
    <row r="3" spans="1:16" ht="15">
      <c r="I3" s="1375" t="str">
        <f>+'III.6.3.Afil. SRL'!C4</f>
        <v>Afiliados  SRL</v>
      </c>
    </row>
    <row r="4" spans="1:16" ht="25.5" customHeight="1">
      <c r="I4" s="1374">
        <f>+'III.6.3.Afil. SRL'!C22</f>
        <v>2554953</v>
      </c>
      <c r="J4" s="354"/>
    </row>
    <row r="5" spans="1:16" ht="17.25" customHeight="1">
      <c r="A5" s="2199" t="s">
        <v>715</v>
      </c>
      <c r="B5" s="2200"/>
      <c r="C5" s="2200"/>
      <c r="D5" s="2200"/>
      <c r="E5" s="2200"/>
      <c r="F5" s="2200"/>
      <c r="G5" s="2200"/>
    </row>
    <row r="6" spans="1:16" ht="17.25" customHeight="1">
      <c r="A6" s="2200"/>
      <c r="B6" s="2200"/>
      <c r="C6" s="2200"/>
      <c r="D6" s="2200"/>
      <c r="E6" s="2200"/>
      <c r="F6" s="2200"/>
      <c r="G6" s="2200"/>
    </row>
    <row r="7" spans="1:16" ht="17.25" customHeight="1">
      <c r="A7" s="2200"/>
      <c r="B7" s="2200"/>
      <c r="C7" s="2200"/>
      <c r="D7" s="2200"/>
      <c r="E7" s="2200"/>
      <c r="F7" s="2200"/>
      <c r="G7" s="2200"/>
      <c r="I7" s="1376"/>
    </row>
    <row r="8" spans="1:16" ht="17.25" customHeight="1">
      <c r="A8" s="2200"/>
      <c r="B8" s="2200"/>
      <c r="C8" s="2200"/>
      <c r="D8" s="2200"/>
      <c r="E8" s="2200"/>
      <c r="F8" s="2200"/>
      <c r="G8" s="2200"/>
      <c r="I8" s="1376"/>
    </row>
    <row r="9" spans="1:16" ht="17.25" customHeight="1">
      <c r="A9" s="2200"/>
      <c r="B9" s="2200"/>
      <c r="C9" s="2200"/>
      <c r="D9" s="2200"/>
      <c r="E9" s="2200"/>
      <c r="F9" s="2200"/>
      <c r="G9" s="2200"/>
      <c r="I9" s="1376"/>
    </row>
    <row r="10" spans="1:16" ht="17.25" customHeight="1">
      <c r="A10" s="2200"/>
      <c r="B10" s="2200"/>
      <c r="C10" s="2200"/>
      <c r="D10" s="2200"/>
      <c r="E10" s="2200"/>
      <c r="F10" s="2200"/>
      <c r="G10" s="2200"/>
      <c r="I10" s="2196" t="str">
        <f>+'III.6.4.Afil. SRL x sexoy edad'!B4</f>
        <v>Afiliados por Grupo de Edad</v>
      </c>
      <c r="J10" s="2197"/>
    </row>
    <row r="11" spans="1:16" ht="15">
      <c r="A11" s="2200"/>
      <c r="B11" s="2200"/>
      <c r="C11" s="2200"/>
      <c r="D11" s="2200"/>
      <c r="E11" s="2200"/>
      <c r="F11" s="2200"/>
      <c r="G11" s="2200"/>
      <c r="I11" s="361" t="str">
        <f>+'III.6.4.Afil. SRL x sexoy edad'!A5</f>
        <v>15-19</v>
      </c>
      <c r="J11" s="357">
        <f>+'III.6.4.Afil. SRL x sexoy edad'!C5</f>
        <v>1.7773321074790807E-2</v>
      </c>
      <c r="N11" s="356" t="str">
        <f>+'III.6.4.Afil. SRL x sexoy edad'!D4</f>
        <v>Hombres</v>
      </c>
      <c r="O11" s="359">
        <f>+'III.6.4.Afil. SRL x sexoy edad'!D21</f>
        <v>1356180</v>
      </c>
      <c r="P11" s="360">
        <f>+'III.6.4.Afil. SRL x sexoy edad'!E21</f>
        <v>0.53080428485377229</v>
      </c>
    </row>
    <row r="12" spans="1:16" ht="17.25" customHeight="1">
      <c r="A12" s="2200"/>
      <c r="B12" s="2200"/>
      <c r="C12" s="2200"/>
      <c r="D12" s="2200"/>
      <c r="E12" s="2200"/>
      <c r="F12" s="2200"/>
      <c r="G12" s="2200"/>
      <c r="I12" s="361" t="str">
        <f>+'III.6.4.Afil. SRL x sexoy edad'!A6</f>
        <v>20-24</v>
      </c>
      <c r="J12" s="1379">
        <f>+'III.6.4.Afil. SRL x sexoy edad'!C6</f>
        <v>0.11732348892523659</v>
      </c>
      <c r="K12" s="2201">
        <f>+J12+J13+J14+J15+J16+J17</f>
        <v>0.76046682659133058</v>
      </c>
      <c r="N12" s="356" t="str">
        <f>+'III.6.4.Afil. SRL x sexoy edad'!F4</f>
        <v>Mujeres</v>
      </c>
      <c r="O12" s="359">
        <f>+'III.6.4.Afil. SRL x sexoy edad'!F21</f>
        <v>1198773</v>
      </c>
      <c r="P12" s="360">
        <f>+'III.6.4.Afil. SRL x sexoy edad'!G21</f>
        <v>0.46919571514622777</v>
      </c>
    </row>
    <row r="13" spans="1:16" ht="17.25" customHeight="1">
      <c r="A13" s="2200"/>
      <c r="B13" s="2200"/>
      <c r="C13" s="2200"/>
      <c r="D13" s="2200"/>
      <c r="E13" s="2200"/>
      <c r="F13" s="2200"/>
      <c r="G13" s="2200"/>
      <c r="I13" s="361" t="str">
        <f>+'III.6.4.Afil. SRL x sexoy edad'!A7</f>
        <v>25-29</v>
      </c>
      <c r="J13" s="1379">
        <f>+'III.6.4.Afil. SRL x sexoy edad'!C7</f>
        <v>0.14818237360922099</v>
      </c>
      <c r="K13" s="2201"/>
      <c r="N13" s="355"/>
      <c r="O13" s="1377">
        <f>SUM(O11:O12)</f>
        <v>2554953</v>
      </c>
      <c r="P13" s="1378">
        <f>SUM(P11:P12)</f>
        <v>1</v>
      </c>
    </row>
    <row r="14" spans="1:16" ht="17.25" customHeight="1">
      <c r="A14" s="2200"/>
      <c r="B14" s="2200"/>
      <c r="C14" s="2200"/>
      <c r="D14" s="2200"/>
      <c r="E14" s="2200"/>
      <c r="F14" s="2200"/>
      <c r="G14" s="2200"/>
      <c r="I14" s="361" t="str">
        <f>+'III.6.4.Afil. SRL x sexoy edad'!A8</f>
        <v>30-34</v>
      </c>
      <c r="J14" s="1379">
        <f>+'III.6.4.Afil. SRL x sexoy edad'!C8</f>
        <v>0.15452299905321154</v>
      </c>
      <c r="K14" s="2201"/>
      <c r="N14" s="355"/>
      <c r="O14" s="359">
        <f>+O13-I4</f>
        <v>0</v>
      </c>
    </row>
    <row r="15" spans="1:16" ht="17.25" customHeight="1">
      <c r="A15" s="2200"/>
      <c r="B15" s="2200"/>
      <c r="C15" s="2200"/>
      <c r="D15" s="2200"/>
      <c r="E15" s="2200"/>
      <c r="F15" s="2200"/>
      <c r="G15" s="2200"/>
      <c r="I15" s="361" t="str">
        <f>+'III.6.4.Afil. SRL x sexoy edad'!A9</f>
        <v>35-39</v>
      </c>
      <c r="J15" s="1379">
        <f>+'III.6.4.Afil. SRL x sexoy edad'!C9</f>
        <v>0.13153196947262827</v>
      </c>
      <c r="K15" s="2201"/>
      <c r="N15" s="355"/>
      <c r="O15" s="355"/>
    </row>
    <row r="16" spans="1:16" ht="17.25" customHeight="1">
      <c r="A16" s="2200"/>
      <c r="B16" s="2200"/>
      <c r="C16" s="2200"/>
      <c r="D16" s="2200"/>
      <c r="E16" s="2200"/>
      <c r="F16" s="2200"/>
      <c r="G16" s="2200"/>
      <c r="I16" s="361" t="str">
        <f>+'III.6.4.Afil. SRL x sexoy edad'!A10</f>
        <v>40-44</v>
      </c>
      <c r="J16" s="1379">
        <f>+'III.6.4.Afil. SRL x sexoy edad'!C10</f>
        <v>0.11275510743250462</v>
      </c>
      <c r="K16" s="2201"/>
      <c r="N16" s="355"/>
      <c r="O16" s="355"/>
    </row>
    <row r="17" spans="1:17" ht="17.25" customHeight="1">
      <c r="A17" s="2200"/>
      <c r="B17" s="2200"/>
      <c r="C17" s="2200"/>
      <c r="D17" s="2200"/>
      <c r="E17" s="2200"/>
      <c r="F17" s="2200"/>
      <c r="G17" s="2200"/>
      <c r="I17" s="361" t="str">
        <f>+'III.6.4.Afil. SRL x sexoy edad'!A11</f>
        <v>45-49</v>
      </c>
      <c r="J17" s="1379">
        <f>+'III.6.4.Afil. SRL x sexoy edad'!C11</f>
        <v>9.615088809852862E-2</v>
      </c>
      <c r="K17" s="2201"/>
      <c r="N17" s="2198" t="s">
        <v>716</v>
      </c>
      <c r="O17" s="2198"/>
      <c r="P17" s="2198"/>
    </row>
    <row r="18" spans="1:17" ht="17.25" customHeight="1">
      <c r="A18" s="2200"/>
      <c r="B18" s="2200"/>
      <c r="C18" s="2200"/>
      <c r="D18" s="2200"/>
      <c r="E18" s="2200"/>
      <c r="F18" s="2200"/>
      <c r="G18" s="2200"/>
      <c r="I18" s="361" t="str">
        <f>+'III.6.4.Afil. SRL x sexoy edad'!A12</f>
        <v>50-54</v>
      </c>
      <c r="J18" s="357">
        <f>+'III.6.4.Afil. SRL x sexoy edad'!C12</f>
        <v>7.6332911016367036E-2</v>
      </c>
      <c r="K18" s="2202">
        <f>+J18+J19+J20+J21</f>
        <v>0.19872733471026668</v>
      </c>
      <c r="N18" s="361"/>
      <c r="O18" s="356" t="s">
        <v>717</v>
      </c>
      <c r="P18" s="361"/>
    </row>
    <row r="19" spans="1:17" ht="17.25" customHeight="1">
      <c r="A19" s="2200"/>
      <c r="B19" s="2200"/>
      <c r="C19" s="2200"/>
      <c r="D19" s="2200"/>
      <c r="E19" s="2200"/>
      <c r="F19" s="2200"/>
      <c r="G19" s="2200"/>
      <c r="I19" s="361" t="str">
        <f>+'III.6.4.Afil. SRL x sexoy edad'!A13</f>
        <v>55-59</v>
      </c>
      <c r="J19" s="357">
        <f>+'III.6.4.Afil. SRL x sexoy edad'!C13</f>
        <v>6.0074686305384088E-2</v>
      </c>
      <c r="K19" s="2203"/>
      <c r="N19" s="356" t="s">
        <v>177</v>
      </c>
      <c r="O19" s="359">
        <f>+'III.6.4.Afil. SRL x sexoy edad'!D6+'III.6.4.Afil. SRL x sexoy edad'!D7+'III.6.4.Afil. SRL x sexoy edad'!D8+'III.6.4.Afil. SRL x sexoy edad'!D9+'III.6.4.Afil. SRL x sexoy edad'!D10+'III.6.4.Afil. SRL x sexoy edad'!D11+'III.6.4.Afil. SRL x sexoy edad'!D12+'III.6.4.Afil. SRL x sexoy edad'!D13</f>
        <v>1201646</v>
      </c>
      <c r="P19" s="360">
        <f>+O19/O11</f>
        <v>0.88605199899718323</v>
      </c>
    </row>
    <row r="20" spans="1:17" ht="17.25" customHeight="1">
      <c r="A20" s="2200"/>
      <c r="B20" s="2200"/>
      <c r="C20" s="2200"/>
      <c r="D20" s="2200"/>
      <c r="E20" s="2200"/>
      <c r="F20" s="2200"/>
      <c r="G20" s="2200"/>
      <c r="I20" s="361" t="str">
        <f>+'III.6.4.Afil. SRL x sexoy edad'!A14</f>
        <v>60-64</v>
      </c>
      <c r="J20" s="357">
        <f>+'III.6.4.Afil. SRL x sexoy edad'!C14</f>
        <v>3.962695204177924E-2</v>
      </c>
      <c r="K20" s="2204">
        <f>+J22+J23+J24+J25</f>
        <v>2.3032126226979515E-2</v>
      </c>
      <c r="N20" s="356" t="s">
        <v>176</v>
      </c>
      <c r="O20" s="359">
        <f>+'III.6.4.Afil. SRL x sexoy edad'!F6+'III.6.4.Afil. SRL x sexoy edad'!F7+'III.6.4.Afil. SRL x sexoy edad'!F8+'III.6.4.Afil. SRL x sexoy edad'!F9+'III.6.4.Afil. SRL x sexoy edad'!F10+'III.6.4.Afil. SRL x sexoy edad'!F11+'III.6.4.Afil. SRL x sexoy edad'!F12+'III.6.4.Afil. SRL x sexoy edad'!F13</f>
        <v>1089826</v>
      </c>
      <c r="P20" s="360">
        <f>+O20/O12</f>
        <v>0.9091179063926198</v>
      </c>
    </row>
    <row r="21" spans="1:17" ht="17.25" customHeight="1">
      <c r="A21" s="2200"/>
      <c r="B21" s="2200"/>
      <c r="C21" s="2200"/>
      <c r="D21" s="2200"/>
      <c r="E21" s="2200"/>
      <c r="F21" s="2200"/>
      <c r="G21" s="2200"/>
      <c r="I21" s="361" t="str">
        <f>+'III.6.4.Afil. SRL x sexoy edad'!A15</f>
        <v>65-69</v>
      </c>
      <c r="J21" s="357">
        <f>+'III.6.4.Afil. SRL x sexoy edad'!C15</f>
        <v>2.269278534673632E-2</v>
      </c>
      <c r="K21" s="2205"/>
      <c r="N21" s="354"/>
      <c r="O21" s="353"/>
    </row>
    <row r="22" spans="1:17" ht="17.25" customHeight="1">
      <c r="A22" s="2200"/>
      <c r="B22" s="2200"/>
      <c r="C22" s="2200"/>
      <c r="D22" s="2200"/>
      <c r="E22" s="2200"/>
      <c r="F22" s="2200"/>
      <c r="G22" s="2200"/>
      <c r="I22" s="361" t="str">
        <f>+'III.6.4.Afil. SRL x sexoy edad'!A16</f>
        <v>70-74</v>
      </c>
      <c r="J22" s="1379">
        <f>+'III.6.4.Afil. SRL x sexoy edad'!C16</f>
        <v>1.2455023634485644E-2</v>
      </c>
      <c r="K22" s="2205"/>
      <c r="L22" s="307" t="s">
        <v>718</v>
      </c>
      <c r="N22" s="354"/>
      <c r="O22" s="353">
        <f>+O19+O20</f>
        <v>2291472</v>
      </c>
    </row>
    <row r="23" spans="1:17" ht="17.25" customHeight="1">
      <c r="A23" s="2200"/>
      <c r="B23" s="2200"/>
      <c r="C23" s="2200"/>
      <c r="D23" s="2200"/>
      <c r="E23" s="2200"/>
      <c r="F23" s="2200"/>
      <c r="G23" s="2200"/>
      <c r="I23" s="361" t="str">
        <f>+'III.6.4.Afil. SRL x sexoy edad'!A17</f>
        <v>75-79</v>
      </c>
      <c r="J23" s="1379">
        <f>+'III.6.4.Afil. SRL x sexoy edad'!C17</f>
        <v>6.1523636638325637E-3</v>
      </c>
      <c r="K23" s="2205"/>
      <c r="L23" s="325">
        <f>+Tabla51[[#Totals],[Mayor o igual a 60 años]]</f>
        <v>5.0908722057279761E-2</v>
      </c>
      <c r="M23" s="325"/>
    </row>
    <row r="24" spans="1:17" ht="17.25" customHeight="1">
      <c r="A24" s="2200"/>
      <c r="B24" s="2200"/>
      <c r="C24" s="2200"/>
      <c r="D24" s="2200"/>
      <c r="E24" s="2200"/>
      <c r="F24" s="2200"/>
      <c r="G24" s="2200"/>
      <c r="I24" s="361" t="str">
        <f>+'III.6.4.Afil. SRL x sexoy edad'!A18</f>
        <v>80-84</v>
      </c>
      <c r="J24" s="1379">
        <f>+'III.6.4.Afil. SRL x sexoy edad'!C18</f>
        <v>2.6231402299768331E-3</v>
      </c>
      <c r="K24" s="2205"/>
    </row>
    <row r="25" spans="1:17" ht="17.25" customHeight="1">
      <c r="A25" s="2200"/>
      <c r="B25" s="2200"/>
      <c r="C25" s="2200"/>
      <c r="D25" s="2200"/>
      <c r="E25" s="2200"/>
      <c r="F25" s="2200"/>
      <c r="G25" s="2200"/>
      <c r="I25" s="361" t="str">
        <f>+'III.6.4.Afil. SRL x sexoy edad'!A19</f>
        <v>&gt;85</v>
      </c>
      <c r="J25" s="1379">
        <f>+'III.6.4.Afil. SRL x sexoy edad'!C19</f>
        <v>1.8015986986844768E-3</v>
      </c>
      <c r="K25" s="2206"/>
    </row>
    <row r="26" spans="1:17" ht="39.75" customHeight="1">
      <c r="A26" s="2200"/>
      <c r="B26" s="2200"/>
      <c r="C26" s="2200"/>
      <c r="D26" s="2200"/>
      <c r="E26" s="2200"/>
      <c r="F26" s="2200"/>
      <c r="G26" s="2200"/>
      <c r="I26" s="1706"/>
      <c r="J26" s="1707">
        <f>SUM(J11:J25)</f>
        <v>0.99999960860336756</v>
      </c>
      <c r="K26" s="338"/>
    </row>
    <row r="27" spans="1:17" ht="17.25" customHeight="1"/>
    <row r="28" spans="1:17" ht="17.25" customHeight="1">
      <c r="I28" s="1705" t="str">
        <f>+Tabla23[[#Headers],[Tasa de accidentabilidad   ]]</f>
        <v xml:space="preserve">Tasa de accidentabilidad   </v>
      </c>
      <c r="J28" s="1704">
        <f>+'III.6.6.ID. Accidentabilidad'!E22</f>
        <v>6.5555021951480127E-3</v>
      </c>
    </row>
    <row r="29" spans="1:17" ht="15" customHeight="1">
      <c r="I29" s="2192" t="str">
        <f>+Tabla23[[#Headers],[Accidentabilidad Afiliados
(No. de accidentes por cada 100,000 afiliados)]]</f>
        <v>Accidentabilidad Afiliados
(No. de accidentes por cada 100,000 afiliados)</v>
      </c>
      <c r="J29" s="2193">
        <f>+'III.6.6.ID. Accidentabilidad'!D22</f>
        <v>655.55021951480126</v>
      </c>
      <c r="K29" s="1380"/>
      <c r="L29" s="1380"/>
      <c r="M29" s="1380"/>
      <c r="N29" s="1380"/>
      <c r="O29" s="1704"/>
      <c r="P29" s="1380"/>
      <c r="Q29" s="1380"/>
    </row>
    <row r="30" spans="1:17">
      <c r="I30" s="2192"/>
      <c r="J30" s="2194"/>
    </row>
    <row r="31" spans="1:17">
      <c r="I31" s="2192"/>
      <c r="J31" s="2195"/>
    </row>
    <row r="34" spans="5:14">
      <c r="N34" s="327"/>
    </row>
    <row r="35" spans="5:14">
      <c r="E35" s="362"/>
    </row>
  </sheetData>
  <mergeCells count="8">
    <mergeCell ref="I29:I31"/>
    <mergeCell ref="J29:J31"/>
    <mergeCell ref="I10:J10"/>
    <mergeCell ref="N17:P17"/>
    <mergeCell ref="A5:G26"/>
    <mergeCell ref="K12:K17"/>
    <mergeCell ref="K18:K19"/>
    <mergeCell ref="K20:K25"/>
  </mergeCells>
  <pageMargins left="0.70866141732283472" right="0.70866141732283472" top="0.74803149606299213" bottom="0.74803149606299213" header="0.31496062992125984" footer="0.31496062992125984"/>
  <pageSetup paperSize="11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0">
    <tabColor theme="0" tint="-0.249977111117893"/>
    <pageSetUpPr fitToPage="1"/>
  </sheetPr>
  <dimension ref="A1:N49"/>
  <sheetViews>
    <sheetView showGridLines="0" view="pageBreakPreview" zoomScale="55" zoomScaleNormal="100" zoomScaleSheetLayoutView="55" zoomScalePageLayoutView="40" workbookViewId="0">
      <selection activeCell="C22" sqref="C22"/>
    </sheetView>
  </sheetViews>
  <sheetFormatPr defaultColWidth="11.42578125" defaultRowHeight="14.25"/>
  <cols>
    <col min="1" max="1" width="26.28515625" style="340" customWidth="1"/>
    <col min="2" max="2" width="36.5703125" style="340" customWidth="1"/>
    <col min="3" max="3" width="30.140625" style="340" customWidth="1"/>
    <col min="4" max="4" width="29.42578125" style="340" customWidth="1"/>
    <col min="5" max="5" width="39.140625" style="340" customWidth="1"/>
    <col min="6" max="6" width="33.85546875" style="340" customWidth="1"/>
    <col min="7" max="7" width="36" style="340" customWidth="1"/>
    <col min="8" max="8" width="30.85546875" style="370" customWidth="1"/>
    <col min="9" max="9" width="46.140625" style="340" customWidth="1"/>
    <col min="10" max="10" width="24.140625" style="340" hidden="1" customWidth="1"/>
    <col min="11" max="11" width="23.85546875" style="340" hidden="1" customWidth="1"/>
    <col min="12" max="12" width="0" style="340" hidden="1" customWidth="1"/>
    <col min="13" max="13" width="11.42578125" style="340"/>
    <col min="14" max="14" width="17.42578125" style="340" customWidth="1"/>
    <col min="15" max="16" width="11.42578125" style="340"/>
    <col min="17" max="17" width="12.5703125" style="340" customWidth="1"/>
    <col min="18" max="19" width="18" style="340" bestFit="1" customWidth="1"/>
    <col min="20" max="20" width="12.5703125" style="340" customWidth="1"/>
    <col min="21" max="21" width="21.42578125" style="340" bestFit="1" customWidth="1"/>
    <col min="22" max="22" width="2.42578125" style="340" bestFit="1" customWidth="1"/>
    <col min="23" max="23" width="8.7109375" style="340" bestFit="1" customWidth="1"/>
    <col min="24" max="16384" width="11.42578125" style="340"/>
  </cols>
  <sheetData>
    <row r="1" spans="1:14" s="541" customFormat="1" ht="104.25" customHeight="1">
      <c r="A1" s="2207" t="s">
        <v>719</v>
      </c>
      <c r="B1" s="2207"/>
      <c r="C1" s="2207"/>
      <c r="D1" s="2207"/>
      <c r="E1" s="2207"/>
      <c r="F1" s="2207"/>
      <c r="G1" s="2207"/>
      <c r="H1" s="2207"/>
      <c r="I1" s="2207"/>
      <c r="J1" s="2207"/>
      <c r="K1" s="2207"/>
      <c r="L1" s="2207"/>
    </row>
    <row r="2" spans="1:14" s="541" customFormat="1" ht="42" customHeight="1">
      <c r="A2" s="2118" t="str">
        <f>+'Resumen '!O4</f>
        <v>Período:  Diciembre 2008 - Abril 2025</v>
      </c>
      <c r="B2" s="2118"/>
      <c r="C2" s="2118"/>
      <c r="D2" s="2118"/>
      <c r="E2" s="2118"/>
      <c r="F2" s="2118"/>
      <c r="G2" s="2118"/>
      <c r="H2" s="2118"/>
      <c r="I2" s="2118"/>
      <c r="J2" s="2118"/>
      <c r="K2" s="2118"/>
      <c r="L2" s="2118"/>
    </row>
    <row r="3" spans="1:14" s="307" customFormat="1" ht="24" customHeight="1">
      <c r="H3" s="363"/>
    </row>
    <row r="4" spans="1:14" s="307" customFormat="1" ht="58.5" customHeight="1">
      <c r="A4" s="818" t="s">
        <v>371</v>
      </c>
      <c r="B4" s="736" t="s">
        <v>720</v>
      </c>
      <c r="C4" s="819" t="s">
        <v>721</v>
      </c>
      <c r="D4" s="736" t="s">
        <v>722</v>
      </c>
      <c r="E4" s="364"/>
      <c r="F4" s="364"/>
      <c r="G4" s="364"/>
      <c r="H4" s="364"/>
      <c r="I4" s="364"/>
      <c r="N4" s="366"/>
    </row>
    <row r="5" spans="1:14" s="307" customFormat="1" ht="27.75" customHeight="1">
      <c r="A5" s="733" t="s">
        <v>520</v>
      </c>
      <c r="B5" s="934">
        <v>1566047</v>
      </c>
      <c r="C5" s="734">
        <v>1188229</v>
      </c>
      <c r="D5" s="735"/>
      <c r="E5" s="364"/>
      <c r="F5" s="364"/>
      <c r="G5" s="364"/>
      <c r="H5" s="364"/>
      <c r="I5" s="364"/>
      <c r="J5" s="364"/>
      <c r="K5" s="365"/>
      <c r="L5" s="365"/>
      <c r="N5" s="366"/>
    </row>
    <row r="6" spans="1:14" s="307" customFormat="1" ht="27.75" customHeight="1">
      <c r="A6" s="733" t="s">
        <v>521</v>
      </c>
      <c r="B6" s="934">
        <v>1560994</v>
      </c>
      <c r="C6" s="734">
        <v>1227725</v>
      </c>
      <c r="D6" s="820">
        <f>C6/C5-1</f>
        <v>3.323938399079629E-2</v>
      </c>
      <c r="E6" s="358"/>
      <c r="F6" s="358"/>
      <c r="G6" s="358"/>
      <c r="H6" s="358"/>
      <c r="I6" s="358"/>
      <c r="K6" s="365"/>
      <c r="L6" s="365"/>
      <c r="N6" s="366"/>
    </row>
    <row r="7" spans="1:14" s="307" customFormat="1" ht="27.75" customHeight="1">
      <c r="A7" s="733" t="s">
        <v>522</v>
      </c>
      <c r="B7" s="934">
        <v>1631129</v>
      </c>
      <c r="C7" s="734">
        <v>1299087</v>
      </c>
      <c r="D7" s="820">
        <f t="shared" ref="D7:D17" si="0">C7/C6-1</f>
        <v>5.8125394530534225E-2</v>
      </c>
      <c r="E7" s="364"/>
      <c r="F7" s="364"/>
      <c r="G7" s="364"/>
      <c r="H7" s="364"/>
      <c r="I7" s="364"/>
      <c r="K7" s="365"/>
      <c r="L7" s="365"/>
      <c r="N7" s="366"/>
    </row>
    <row r="8" spans="1:14" s="307" customFormat="1" ht="27.75" customHeight="1">
      <c r="A8" s="733" t="s">
        <v>525</v>
      </c>
      <c r="B8" s="934">
        <v>1686216</v>
      </c>
      <c r="C8" s="734">
        <v>1367790</v>
      </c>
      <c r="D8" s="820">
        <f t="shared" si="0"/>
        <v>5.2885603504615242E-2</v>
      </c>
      <c r="J8" s="367"/>
      <c r="K8" s="365"/>
      <c r="L8" s="365"/>
      <c r="N8" s="366"/>
    </row>
    <row r="9" spans="1:14" s="307" customFormat="1" ht="27.75" customHeight="1">
      <c r="A9" s="733" t="s">
        <v>526</v>
      </c>
      <c r="B9" s="934">
        <v>1716228</v>
      </c>
      <c r="C9" s="734">
        <v>1430273</v>
      </c>
      <c r="D9" s="820">
        <f t="shared" si="0"/>
        <v>4.5681720147098703E-2</v>
      </c>
      <c r="J9" s="334"/>
      <c r="K9" s="365"/>
      <c r="L9" s="365"/>
      <c r="N9" s="366"/>
    </row>
    <row r="10" spans="1:14" s="307" customFormat="1" ht="27.75" customHeight="1">
      <c r="A10" s="733" t="s">
        <v>527</v>
      </c>
      <c r="B10" s="934">
        <v>1769801</v>
      </c>
      <c r="C10" s="734">
        <v>1530322</v>
      </c>
      <c r="D10" s="820">
        <f t="shared" si="0"/>
        <v>6.9950981386071032E-2</v>
      </c>
      <c r="E10" s="364"/>
      <c r="F10" s="364"/>
      <c r="G10" s="364"/>
      <c r="H10" s="364"/>
      <c r="I10" s="364"/>
      <c r="J10" s="334"/>
      <c r="K10" s="365"/>
      <c r="L10" s="365"/>
      <c r="N10" s="366"/>
    </row>
    <row r="11" spans="1:14" s="307" customFormat="1" ht="27.75" customHeight="1">
      <c r="A11" s="733" t="s">
        <v>528</v>
      </c>
      <c r="B11" s="934">
        <v>1853784.4208326</v>
      </c>
      <c r="C11" s="934">
        <f>+'II.3. Empl x sector '!J11</f>
        <v>1651202</v>
      </c>
      <c r="D11" s="820">
        <f t="shared" si="0"/>
        <v>7.8989911927032308E-2</v>
      </c>
      <c r="E11" s="364"/>
      <c r="F11" s="364"/>
      <c r="G11" s="364"/>
      <c r="H11" s="364"/>
      <c r="I11" s="364"/>
      <c r="J11" s="367"/>
      <c r="K11" s="365"/>
      <c r="L11" s="365"/>
      <c r="N11" s="366"/>
    </row>
    <row r="12" spans="1:14" s="307" customFormat="1" ht="27.75" customHeight="1">
      <c r="A12" s="733" t="s">
        <v>531</v>
      </c>
      <c r="B12" s="934">
        <v>1939410.7036625701</v>
      </c>
      <c r="C12" s="934">
        <f>+'II.3. Empl x sector '!J12</f>
        <v>1759458</v>
      </c>
      <c r="D12" s="820">
        <f t="shared" si="0"/>
        <v>6.5561936092616069E-2</v>
      </c>
      <c r="E12" s="364"/>
      <c r="F12" s="364"/>
      <c r="G12" s="364"/>
      <c r="H12" s="364"/>
      <c r="I12" s="364"/>
      <c r="J12" s="367"/>
      <c r="K12" s="365"/>
      <c r="L12" s="365"/>
      <c r="N12" s="366"/>
    </row>
    <row r="13" spans="1:14" s="307" customFormat="1" ht="27.75" customHeight="1">
      <c r="A13" s="733" t="s">
        <v>533</v>
      </c>
      <c r="B13" s="934">
        <v>2012995.43601726</v>
      </c>
      <c r="C13" s="934">
        <v>1888238</v>
      </c>
      <c r="D13" s="820">
        <f t="shared" si="0"/>
        <v>7.3192994660855826E-2</v>
      </c>
      <c r="E13" s="364"/>
      <c r="F13" s="364"/>
      <c r="G13" s="364"/>
      <c r="H13" s="364"/>
      <c r="I13" s="364"/>
      <c r="J13" s="367"/>
      <c r="K13" s="365"/>
      <c r="L13" s="365"/>
      <c r="N13" s="366"/>
    </row>
    <row r="14" spans="1:14" s="307" customFormat="1" ht="27.75" customHeight="1">
      <c r="A14" s="733" t="s">
        <v>535</v>
      </c>
      <c r="B14" s="934">
        <v>2050906.62490762</v>
      </c>
      <c r="C14" s="934">
        <v>2038807</v>
      </c>
      <c r="D14" s="820">
        <f t="shared" si="0"/>
        <v>7.9740477630468209E-2</v>
      </c>
      <c r="E14" s="364"/>
      <c r="F14" s="364"/>
      <c r="G14" s="364"/>
      <c r="H14" s="364"/>
      <c r="I14" s="364"/>
      <c r="J14" s="367"/>
      <c r="K14" s="365"/>
      <c r="L14" s="365"/>
      <c r="N14" s="368"/>
    </row>
    <row r="15" spans="1:14" s="307" customFormat="1" ht="27.75" customHeight="1">
      <c r="A15" s="733" t="s">
        <v>470</v>
      </c>
      <c r="B15" s="934">
        <v>2202518.1965998798</v>
      </c>
      <c r="C15" s="934">
        <v>2173990</v>
      </c>
      <c r="D15" s="820">
        <f t="shared" si="0"/>
        <v>6.6304951866459128E-2</v>
      </c>
      <c r="E15" s="364"/>
      <c r="F15" s="364"/>
      <c r="H15" s="363"/>
      <c r="I15" s="364"/>
      <c r="J15" s="364"/>
      <c r="K15" s="365"/>
      <c r="L15" s="365"/>
      <c r="N15" s="369"/>
    </row>
    <row r="16" spans="1:14" s="307" customFormat="1" ht="27.75" customHeight="1">
      <c r="A16" s="733" t="s">
        <v>471</v>
      </c>
      <c r="B16" s="934">
        <v>2299463.3115164302</v>
      </c>
      <c r="C16" s="934">
        <v>2255713</v>
      </c>
      <c r="D16" s="820">
        <f t="shared" si="0"/>
        <v>3.7591249269775862E-2</v>
      </c>
      <c r="E16" s="364"/>
      <c r="F16" s="364"/>
      <c r="H16" s="363"/>
      <c r="I16" s="364"/>
      <c r="J16" s="364"/>
      <c r="K16" s="365"/>
      <c r="L16" s="365"/>
      <c r="N16" s="369"/>
    </row>
    <row r="17" spans="1:14" s="307" customFormat="1" ht="27.75" customHeight="1">
      <c r="A17" s="733" t="s">
        <v>472</v>
      </c>
      <c r="B17" s="934">
        <v>2045876.3979077199</v>
      </c>
      <c r="C17" s="934">
        <v>2117050</v>
      </c>
      <c r="D17" s="820">
        <f t="shared" si="0"/>
        <v>-6.1471915975126246E-2</v>
      </c>
      <c r="E17" s="364"/>
      <c r="F17" s="364"/>
      <c r="H17" s="363"/>
      <c r="I17" s="364"/>
      <c r="J17" s="364"/>
      <c r="K17" s="365"/>
      <c r="L17" s="365"/>
      <c r="N17" s="369"/>
    </row>
    <row r="18" spans="1:14" s="307" customFormat="1" ht="27.75" customHeight="1">
      <c r="A18" s="733" t="s">
        <v>473</v>
      </c>
      <c r="B18" s="934">
        <v>2170910.4636014798</v>
      </c>
      <c r="C18" s="934">
        <v>2311186</v>
      </c>
      <c r="D18" s="820">
        <f>C18/C17-1</f>
        <v>9.1701187973831422E-2</v>
      </c>
      <c r="E18" s="364"/>
      <c r="F18" s="364"/>
      <c r="H18" s="363"/>
      <c r="I18" s="364"/>
      <c r="J18" s="364"/>
      <c r="K18" s="365"/>
      <c r="L18" s="365"/>
      <c r="N18" s="369"/>
    </row>
    <row r="19" spans="1:14" s="307" customFormat="1" ht="27.75" customHeight="1">
      <c r="A19" s="821" t="s">
        <v>474</v>
      </c>
      <c r="B19" s="934">
        <v>2253696.5098291901</v>
      </c>
      <c r="C19" s="934">
        <v>2405039</v>
      </c>
      <c r="D19" s="822">
        <v>4.0608155293429427E-2</v>
      </c>
      <c r="E19" s="364"/>
      <c r="F19" s="364"/>
      <c r="G19" s="364"/>
      <c r="H19" s="363"/>
      <c r="I19" s="364"/>
      <c r="J19" s="364"/>
      <c r="K19" s="365"/>
      <c r="L19" s="365"/>
    </row>
    <row r="20" spans="1:14" s="307" customFormat="1" ht="27.75" customHeight="1">
      <c r="A20" s="821" t="s">
        <v>475</v>
      </c>
      <c r="B20" s="934">
        <v>2308209.4335936001</v>
      </c>
      <c r="C20" s="934">
        <v>2445968</v>
      </c>
      <c r="D20" s="822">
        <f>C20/C19-1</f>
        <v>1.7018019250415461E-2</v>
      </c>
      <c r="E20" s="364"/>
      <c r="F20" s="364"/>
      <c r="G20" s="364"/>
      <c r="H20" s="363"/>
      <c r="I20" s="364"/>
      <c r="J20" s="364"/>
      <c r="K20" s="365"/>
      <c r="L20" s="365"/>
    </row>
    <row r="21" spans="1:14" s="307" customFormat="1" ht="27.75" customHeight="1">
      <c r="A21" s="821" t="s">
        <v>476</v>
      </c>
      <c r="B21" s="934">
        <v>2445484</v>
      </c>
      <c r="C21" s="934">
        <v>2515541</v>
      </c>
      <c r="D21" s="822">
        <f>C21/C20-1</f>
        <v>2.8443953477723438E-2</v>
      </c>
      <c r="E21" s="364"/>
      <c r="F21" s="364"/>
      <c r="G21" s="364"/>
      <c r="H21" s="363"/>
      <c r="I21" s="364"/>
      <c r="J21" s="364"/>
      <c r="K21" s="365"/>
      <c r="L21" s="365"/>
    </row>
    <row r="22" spans="1:14" s="307" customFormat="1" ht="27.75" customHeight="1">
      <c r="A22" s="821" t="str">
        <f>+'Resumen '!O6</f>
        <v>Abr.2025</v>
      </c>
      <c r="B22" s="934">
        <f>+'Resumen '!B65</f>
        <v>2445484</v>
      </c>
      <c r="C22" s="934">
        <f>+'Resumen '!D14</f>
        <v>2554953</v>
      </c>
      <c r="D22" s="822">
        <f>C22/C18-1</f>
        <v>0.10547268804847376</v>
      </c>
      <c r="E22" s="364"/>
      <c r="F22" s="364"/>
      <c r="G22" s="364"/>
      <c r="H22" s="363"/>
      <c r="I22" s="364"/>
      <c r="J22" s="364"/>
      <c r="K22" s="365"/>
      <c r="L22" s="365"/>
    </row>
    <row r="23" spans="1:14" s="307" customFormat="1" ht="64.5" customHeight="1">
      <c r="A23" s="2208" t="s">
        <v>723</v>
      </c>
      <c r="B23" s="2209"/>
      <c r="C23" s="2209"/>
      <c r="D23" s="2210"/>
      <c r="E23" s="364"/>
      <c r="F23" s="364"/>
      <c r="G23" s="364"/>
      <c r="H23" s="363"/>
      <c r="I23" s="364"/>
      <c r="J23" s="364"/>
      <c r="K23" s="365"/>
      <c r="L23" s="365"/>
    </row>
    <row r="24" spans="1:14" s="307" customFormat="1" ht="18">
      <c r="A24" s="2211"/>
      <c r="B24" s="2211"/>
      <c r="C24" s="2211"/>
      <c r="D24" s="2211"/>
      <c r="E24" s="364"/>
      <c r="F24" s="364"/>
      <c r="G24" s="364"/>
      <c r="H24" s="363"/>
      <c r="I24" s="364"/>
      <c r="J24" s="364"/>
      <c r="L24" s="364"/>
    </row>
    <row r="25" spans="1:14" s="307" customFormat="1">
      <c r="B25" s="364"/>
      <c r="C25" s="364"/>
      <c r="D25" s="364"/>
      <c r="E25" s="364"/>
      <c r="F25" s="364"/>
      <c r="G25" s="364"/>
      <c r="H25" s="363"/>
      <c r="I25" s="364"/>
      <c r="J25" s="364"/>
      <c r="K25" s="364"/>
      <c r="L25" s="364"/>
    </row>
    <row r="26" spans="1:14" s="307" customFormat="1">
      <c r="B26" s="364"/>
      <c r="C26" s="364"/>
      <c r="D26" s="364"/>
      <c r="E26" s="364"/>
      <c r="F26" s="364"/>
      <c r="G26" s="364"/>
      <c r="H26" s="363"/>
      <c r="I26" s="364"/>
      <c r="J26" s="364"/>
      <c r="K26" s="364"/>
      <c r="L26" s="364"/>
    </row>
    <row r="27" spans="1:14" s="307" customFormat="1">
      <c r="B27" s="364"/>
      <c r="C27" s="364"/>
      <c r="D27" s="364"/>
      <c r="E27" s="364"/>
      <c r="F27" s="364"/>
      <c r="G27" s="364"/>
      <c r="H27" s="363"/>
      <c r="I27" s="364"/>
      <c r="J27" s="364"/>
      <c r="K27" s="364"/>
      <c r="L27" s="364"/>
    </row>
    <row r="28" spans="1:14" s="307" customFormat="1">
      <c r="B28" s="364"/>
      <c r="C28" s="364"/>
      <c r="D28" s="364"/>
      <c r="E28" s="364"/>
      <c r="F28" s="364"/>
      <c r="G28" s="364"/>
      <c r="H28" s="363"/>
      <c r="I28" s="364"/>
      <c r="J28" s="364"/>
      <c r="K28" s="364"/>
      <c r="L28" s="364"/>
    </row>
    <row r="29" spans="1:14" s="307" customFormat="1">
      <c r="B29" s="364"/>
      <c r="C29" s="364"/>
      <c r="D29" s="364"/>
      <c r="E29" s="364"/>
      <c r="F29" s="364"/>
      <c r="G29" s="364"/>
      <c r="H29" s="363"/>
      <c r="I29" s="364"/>
      <c r="J29" s="364"/>
      <c r="K29" s="364"/>
      <c r="L29" s="364"/>
    </row>
    <row r="30" spans="1:14" s="307" customFormat="1">
      <c r="B30" s="364"/>
      <c r="C30" s="364"/>
      <c r="D30" s="364"/>
      <c r="E30" s="364"/>
      <c r="F30" s="364"/>
      <c r="G30" s="364"/>
      <c r="H30" s="363"/>
      <c r="I30" s="364"/>
      <c r="J30" s="364"/>
      <c r="K30" s="364"/>
      <c r="L30" s="364"/>
    </row>
    <row r="31" spans="1:14" s="307" customFormat="1">
      <c r="B31" s="364"/>
      <c r="C31" s="364"/>
      <c r="D31" s="364"/>
      <c r="E31" s="364"/>
      <c r="F31" s="364"/>
      <c r="G31" s="364"/>
      <c r="H31" s="363"/>
      <c r="I31" s="364"/>
      <c r="J31" s="364"/>
      <c r="K31" s="364"/>
      <c r="L31" s="364"/>
    </row>
    <row r="32" spans="1:14" s="307" customFormat="1">
      <c r="B32" s="364"/>
      <c r="C32" s="364"/>
      <c r="D32" s="364"/>
      <c r="E32" s="364"/>
      <c r="F32" s="364"/>
      <c r="G32" s="364"/>
      <c r="H32" s="363"/>
      <c r="I32" s="364"/>
      <c r="J32" s="364"/>
      <c r="K32" s="364"/>
      <c r="L32" s="364"/>
    </row>
    <row r="33" spans="1:12" s="307" customFormat="1">
      <c r="B33" s="364"/>
      <c r="C33" s="364"/>
      <c r="D33" s="364"/>
      <c r="E33" s="364"/>
      <c r="F33" s="364"/>
      <c r="G33" s="364"/>
      <c r="H33" s="363"/>
      <c r="I33" s="364"/>
      <c r="J33" s="364"/>
      <c r="K33" s="364"/>
      <c r="L33" s="364"/>
    </row>
    <row r="34" spans="1:12" s="307" customFormat="1">
      <c r="B34" s="364"/>
      <c r="C34" s="364"/>
      <c r="D34" s="364"/>
      <c r="E34" s="364"/>
      <c r="F34" s="364"/>
      <c r="G34" s="364"/>
      <c r="H34" s="363"/>
      <c r="I34" s="364"/>
      <c r="J34" s="364"/>
      <c r="K34" s="364"/>
      <c r="L34" s="364"/>
    </row>
    <row r="35" spans="1:12" s="307" customFormat="1">
      <c r="B35" s="364"/>
      <c r="C35" s="364"/>
      <c r="D35" s="364"/>
      <c r="E35" s="364"/>
      <c r="F35" s="364"/>
      <c r="G35" s="364"/>
      <c r="H35" s="363"/>
      <c r="I35" s="364"/>
      <c r="J35" s="364"/>
      <c r="K35" s="364"/>
      <c r="L35" s="364"/>
    </row>
    <row r="36" spans="1:12" s="307" customFormat="1">
      <c r="B36" s="364"/>
      <c r="C36" s="364"/>
      <c r="D36" s="364"/>
      <c r="E36" s="364"/>
      <c r="F36" s="364"/>
      <c r="G36" s="364"/>
      <c r="H36" s="363"/>
      <c r="I36" s="364"/>
      <c r="J36" s="364"/>
      <c r="K36" s="364"/>
      <c r="L36" s="364"/>
    </row>
    <row r="37" spans="1:12" s="307" customFormat="1">
      <c r="B37" s="364"/>
      <c r="C37" s="364"/>
      <c r="D37" s="364"/>
      <c r="E37" s="364"/>
      <c r="F37" s="364"/>
      <c r="G37" s="364"/>
      <c r="H37" s="363"/>
      <c r="I37" s="364"/>
      <c r="J37" s="364"/>
      <c r="K37" s="364"/>
      <c r="L37" s="364"/>
    </row>
    <row r="38" spans="1:12" s="307" customFormat="1">
      <c r="B38" s="364"/>
      <c r="C38" s="364"/>
      <c r="D38" s="364"/>
      <c r="E38" s="364"/>
      <c r="F38" s="364"/>
      <c r="G38" s="364"/>
      <c r="H38" s="363"/>
      <c r="I38" s="364"/>
      <c r="J38" s="364"/>
      <c r="K38" s="364"/>
      <c r="L38" s="364"/>
    </row>
    <row r="39" spans="1:12" s="307" customFormat="1">
      <c r="B39" s="364"/>
      <c r="C39" s="364"/>
      <c r="D39" s="364"/>
      <c r="E39" s="364"/>
      <c r="F39" s="364"/>
      <c r="G39" s="364"/>
      <c r="H39" s="363"/>
      <c r="I39" s="364"/>
      <c r="J39" s="364"/>
      <c r="K39" s="364"/>
      <c r="L39" s="364"/>
    </row>
    <row r="40" spans="1:12" s="307" customFormat="1">
      <c r="B40" s="364"/>
      <c r="C40" s="364"/>
      <c r="D40" s="364"/>
      <c r="E40" s="364"/>
      <c r="F40" s="364"/>
      <c r="G40" s="364"/>
      <c r="H40" s="363"/>
      <c r="I40" s="364"/>
      <c r="J40" s="364"/>
      <c r="K40" s="364"/>
      <c r="L40" s="364"/>
    </row>
    <row r="41" spans="1:12" s="307" customFormat="1">
      <c r="B41" s="364"/>
      <c r="C41" s="364"/>
      <c r="D41" s="364"/>
      <c r="H41" s="363"/>
    </row>
    <row r="42" spans="1:12" s="307" customFormat="1">
      <c r="B42" s="364"/>
      <c r="C42" s="364"/>
      <c r="D42" s="364"/>
      <c r="H42" s="363"/>
    </row>
    <row r="43" spans="1:12" s="307" customFormat="1">
      <c r="B43" s="364"/>
      <c r="C43" s="364"/>
      <c r="D43" s="364"/>
      <c r="H43" s="363"/>
    </row>
    <row r="44" spans="1:12" s="307" customFormat="1">
      <c r="H44" s="363"/>
    </row>
    <row r="45" spans="1:12" s="307" customFormat="1">
      <c r="H45" s="363"/>
    </row>
    <row r="46" spans="1:12" s="307" customFormat="1">
      <c r="H46" s="363"/>
    </row>
    <row r="47" spans="1:12">
      <c r="A47" s="307"/>
      <c r="B47" s="307"/>
      <c r="C47" s="307"/>
      <c r="D47" s="307"/>
    </row>
    <row r="48" spans="1:12">
      <c r="A48" s="307"/>
      <c r="B48" s="307"/>
      <c r="C48" s="307"/>
      <c r="D48" s="307"/>
    </row>
    <row r="49" spans="1:4" ht="57.75" customHeight="1">
      <c r="A49" s="307"/>
      <c r="B49" s="307"/>
      <c r="C49" s="307"/>
      <c r="D49" s="307"/>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71">
    <tabColor theme="0" tint="-0.249977111117893"/>
    <pageSetUpPr fitToPage="1"/>
  </sheetPr>
  <dimension ref="A1:AO59"/>
  <sheetViews>
    <sheetView showGridLines="0" view="pageBreakPreview" zoomScale="25" zoomScaleNormal="100" zoomScaleSheetLayoutView="25" workbookViewId="0">
      <selection activeCell="D20" sqref="D20"/>
    </sheetView>
  </sheetViews>
  <sheetFormatPr defaultColWidth="11.5703125" defaultRowHeight="28.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3" width="33.140625" style="1013" customWidth="1"/>
    <col min="14" max="15" width="27" style="1014" bestFit="1" customWidth="1"/>
    <col min="16" max="16" width="25.85546875" style="1015" bestFit="1" customWidth="1"/>
    <col min="17" max="17" width="13.85546875" style="1014" customWidth="1"/>
    <col min="18" max="18" width="18.28515625" style="1014" customWidth="1"/>
    <col min="19" max="20" width="11.5703125" style="1014"/>
    <col min="32" max="34" width="15.140625" customWidth="1"/>
    <col min="35" max="35" width="20.85546875" customWidth="1"/>
    <col min="38" max="41" width="0" hidden="1" customWidth="1"/>
  </cols>
  <sheetData>
    <row r="1" spans="1:41" s="540" customFormat="1" ht="190.5" customHeight="1">
      <c r="A1" s="2212" t="s">
        <v>724</v>
      </c>
      <c r="B1" s="2212"/>
      <c r="C1" s="2212"/>
      <c r="D1" s="2212"/>
      <c r="E1" s="2212"/>
      <c r="F1" s="2212"/>
      <c r="G1" s="2212"/>
      <c r="H1" s="2212"/>
      <c r="I1" s="2212"/>
      <c r="J1" s="2212"/>
      <c r="K1" s="2212"/>
      <c r="M1" s="1010"/>
      <c r="N1" s="1011"/>
      <c r="O1" s="1011"/>
      <c r="P1" s="1012"/>
      <c r="Q1" s="1011"/>
      <c r="R1" s="1011"/>
      <c r="S1" s="1011"/>
      <c r="T1" s="1011"/>
    </row>
    <row r="2" spans="1:41" s="540" customFormat="1" ht="70.5" customHeight="1">
      <c r="A2" s="2216" t="str">
        <f>+'Resumen '!O3</f>
        <v>Período: Abril 2025</v>
      </c>
      <c r="B2" s="2216"/>
      <c r="C2" s="2216"/>
      <c r="D2" s="2216"/>
      <c r="E2" s="2216"/>
      <c r="F2" s="2216"/>
      <c r="G2" s="2216"/>
      <c r="H2" s="2216"/>
      <c r="I2" s="2216"/>
      <c r="J2" s="2216"/>
      <c r="K2" s="2216"/>
      <c r="M2" s="1010"/>
      <c r="N2" s="1011"/>
      <c r="O2" s="1011"/>
      <c r="P2" s="1012"/>
      <c r="Q2" s="1011"/>
      <c r="R2" s="1011"/>
      <c r="S2" s="1011"/>
      <c r="T2" s="1011"/>
    </row>
    <row r="3" spans="1:41" ht="22.5" customHeight="1"/>
    <row r="4" spans="1:41" ht="133.5" customHeight="1">
      <c r="A4" s="855" t="s">
        <v>725</v>
      </c>
      <c r="B4" s="1773" t="s">
        <v>726</v>
      </c>
      <c r="C4" s="1773" t="s">
        <v>266</v>
      </c>
      <c r="D4" s="1773" t="s">
        <v>177</v>
      </c>
      <c r="E4" s="1773" t="s">
        <v>727</v>
      </c>
      <c r="F4" s="1773" t="s">
        <v>176</v>
      </c>
      <c r="G4" s="1774" t="s">
        <v>728</v>
      </c>
      <c r="H4" s="8"/>
      <c r="L4" s="79"/>
      <c r="M4" s="1016" t="s">
        <v>274</v>
      </c>
      <c r="N4" s="1017">
        <v>2413176</v>
      </c>
      <c r="O4" s="1017">
        <v>1298515</v>
      </c>
      <c r="P4" s="1017">
        <v>1114661</v>
      </c>
    </row>
    <row r="5" spans="1:41" s="35" customFormat="1" ht="37.5">
      <c r="A5" s="856" t="s">
        <v>729</v>
      </c>
      <c r="B5" s="857">
        <f>+D5+F5</f>
        <v>45410</v>
      </c>
      <c r="C5" s="858">
        <f t="shared" ref="C5:C20" si="0">+B5/$B$21</f>
        <v>1.7773321074790807E-2</v>
      </c>
      <c r="D5" s="859">
        <f>+'Resumen '!F51</f>
        <v>26970</v>
      </c>
      <c r="E5" s="860">
        <f>D5/B5</f>
        <v>0.59392204360273071</v>
      </c>
      <c r="F5" s="859">
        <f>+'Resumen '!G51</f>
        <v>18440</v>
      </c>
      <c r="G5" s="861">
        <f>+F5/B5</f>
        <v>0.40607795639726935</v>
      </c>
      <c r="H5" s="51"/>
      <c r="I5" s="846"/>
      <c r="J5" s="846"/>
      <c r="K5" s="846"/>
      <c r="L5" s="80"/>
      <c r="M5" s="1018" t="s">
        <v>275</v>
      </c>
      <c r="N5" s="1019">
        <v>40882</v>
      </c>
      <c r="O5" s="1019">
        <v>23688</v>
      </c>
      <c r="P5" s="1020">
        <v>17194</v>
      </c>
      <c r="Q5" s="1021"/>
      <c r="R5" s="1021"/>
      <c r="S5" s="1021"/>
      <c r="T5" s="1021"/>
      <c r="AL5" s="2214" t="s">
        <v>730</v>
      </c>
      <c r="AM5" s="2215"/>
      <c r="AN5" s="2215"/>
    </row>
    <row r="6" spans="1:41" s="35" customFormat="1" ht="37.5">
      <c r="A6" s="856" t="s">
        <v>731</v>
      </c>
      <c r="B6" s="857">
        <f t="shared" ref="B6:B20" si="1">+D6+F6</f>
        <v>299756</v>
      </c>
      <c r="C6" s="858">
        <f t="shared" si="0"/>
        <v>0.11732348892523659</v>
      </c>
      <c r="D6" s="859">
        <f>+'Resumen '!F52</f>
        <v>161086</v>
      </c>
      <c r="E6" s="860">
        <f t="shared" ref="E6:E21" si="2">D6/B6</f>
        <v>0.53739041086750561</v>
      </c>
      <c r="F6" s="859">
        <f>+'Resumen '!G52</f>
        <v>138670</v>
      </c>
      <c r="G6" s="861">
        <f t="shared" ref="G6:G21" si="3">+F6/B6</f>
        <v>0.46260958913249445</v>
      </c>
      <c r="H6" s="51"/>
      <c r="I6" s="115"/>
      <c r="J6" s="115"/>
      <c r="K6" s="115"/>
      <c r="L6" s="862"/>
      <c r="M6" s="1022" t="s">
        <v>276</v>
      </c>
      <c r="N6" s="1023">
        <v>294970</v>
      </c>
      <c r="O6" s="1023">
        <v>159501</v>
      </c>
      <c r="P6" s="1024">
        <v>135469</v>
      </c>
      <c r="Q6" s="1021"/>
      <c r="R6" s="1021"/>
      <c r="S6" s="1021"/>
      <c r="T6" s="1021"/>
      <c r="AL6" s="25" t="s">
        <v>732</v>
      </c>
      <c r="AM6" s="25" t="s">
        <v>177</v>
      </c>
      <c r="AN6" s="25" t="s">
        <v>176</v>
      </c>
    </row>
    <row r="7" spans="1:41" s="35" customFormat="1" ht="37.5">
      <c r="A7" s="856" t="s">
        <v>733</v>
      </c>
      <c r="B7" s="857">
        <f t="shared" si="1"/>
        <v>378599</v>
      </c>
      <c r="C7" s="858">
        <f t="shared" si="0"/>
        <v>0.14818237360922099</v>
      </c>
      <c r="D7" s="859">
        <f>+'Resumen '!F53</f>
        <v>194282</v>
      </c>
      <c r="E7" s="860">
        <f t="shared" si="2"/>
        <v>0.51316036228304884</v>
      </c>
      <c r="F7" s="859">
        <f>+'Resumen '!G53</f>
        <v>184317</v>
      </c>
      <c r="G7" s="861">
        <f t="shared" si="3"/>
        <v>0.48683963771695116</v>
      </c>
      <c r="H7" s="51"/>
      <c r="I7" s="115"/>
      <c r="J7" s="115"/>
      <c r="K7" s="115"/>
      <c r="L7" s="863"/>
      <c r="M7" s="1022" t="s">
        <v>277</v>
      </c>
      <c r="N7" s="1023">
        <v>369753</v>
      </c>
      <c r="O7" s="1023">
        <v>194154</v>
      </c>
      <c r="P7" s="1024">
        <v>175599</v>
      </c>
      <c r="Q7" s="1021"/>
      <c r="R7" s="1021"/>
      <c r="S7" s="1021"/>
      <c r="T7" s="1021"/>
      <c r="AL7" s="864" t="s">
        <v>729</v>
      </c>
      <c r="AM7" s="865">
        <v>13968</v>
      </c>
      <c r="AN7" s="865">
        <f>8829*-1</f>
        <v>-8829</v>
      </c>
    </row>
    <row r="8" spans="1:41" s="35" customFormat="1" ht="37.5">
      <c r="A8" s="856" t="s">
        <v>734</v>
      </c>
      <c r="B8" s="857">
        <f t="shared" si="1"/>
        <v>394799</v>
      </c>
      <c r="C8" s="858">
        <f t="shared" si="0"/>
        <v>0.15452299905321154</v>
      </c>
      <c r="D8" s="859">
        <f>+'Resumen '!F54</f>
        <v>201158</v>
      </c>
      <c r="E8" s="860">
        <f t="shared" si="2"/>
        <v>0.50952003424527414</v>
      </c>
      <c r="F8" s="859">
        <f>+'Resumen '!G54</f>
        <v>193641</v>
      </c>
      <c r="G8" s="861">
        <f t="shared" si="3"/>
        <v>0.4904799657547258</v>
      </c>
      <c r="H8" s="51"/>
      <c r="I8" s="115"/>
      <c r="J8" s="115"/>
      <c r="K8" s="115"/>
      <c r="L8" s="846"/>
      <c r="M8" s="1022" t="s">
        <v>278</v>
      </c>
      <c r="N8" s="1023">
        <v>370527</v>
      </c>
      <c r="O8" s="1023">
        <v>194298</v>
      </c>
      <c r="P8" s="1024">
        <v>176229</v>
      </c>
      <c r="Q8" s="1021"/>
      <c r="R8" s="1021"/>
      <c r="S8" s="1021"/>
      <c r="T8" s="1021"/>
      <c r="AL8" s="864" t="s">
        <v>731</v>
      </c>
      <c r="AM8" s="865">
        <v>94691</v>
      </c>
      <c r="AN8" s="865">
        <f>65301*-1</f>
        <v>-65301</v>
      </c>
    </row>
    <row r="9" spans="1:41" s="35" customFormat="1" ht="37.5">
      <c r="A9" s="856" t="s">
        <v>735</v>
      </c>
      <c r="B9" s="857">
        <f t="shared" si="1"/>
        <v>336058</v>
      </c>
      <c r="C9" s="858">
        <f t="shared" si="0"/>
        <v>0.13153196947262827</v>
      </c>
      <c r="D9" s="859">
        <f>+'Resumen '!F55</f>
        <v>172301</v>
      </c>
      <c r="E9" s="860">
        <f t="shared" si="2"/>
        <v>0.51271209136518103</v>
      </c>
      <c r="F9" s="859">
        <f>+'Resumen '!G55</f>
        <v>163757</v>
      </c>
      <c r="G9" s="861">
        <f t="shared" si="3"/>
        <v>0.48728790863481897</v>
      </c>
      <c r="H9" s="51"/>
      <c r="I9" s="115"/>
      <c r="J9" s="115"/>
      <c r="K9" s="115"/>
      <c r="L9" s="80"/>
      <c r="M9" s="1022" t="s">
        <v>279</v>
      </c>
      <c r="N9" s="1023">
        <v>305731</v>
      </c>
      <c r="O9" s="1023">
        <v>160440</v>
      </c>
      <c r="P9" s="1024">
        <v>145291</v>
      </c>
      <c r="Q9" s="1021"/>
      <c r="R9" s="1021"/>
      <c r="S9" s="1021"/>
      <c r="T9" s="1021"/>
      <c r="AL9" s="864" t="s">
        <v>733</v>
      </c>
      <c r="AM9" s="865">
        <v>114856</v>
      </c>
      <c r="AN9" s="865">
        <v>-87226</v>
      </c>
      <c r="AO9" s="865" t="e">
        <f t="shared" ref="AO9:AO21" si="4">AN9*$C$34</f>
        <v>#VALUE!</v>
      </c>
    </row>
    <row r="10" spans="1:41" s="35" customFormat="1" ht="37.5">
      <c r="A10" s="856" t="s">
        <v>736</v>
      </c>
      <c r="B10" s="857">
        <f t="shared" si="1"/>
        <v>288084</v>
      </c>
      <c r="C10" s="858">
        <f t="shared" si="0"/>
        <v>0.11275510743250462</v>
      </c>
      <c r="D10" s="859">
        <f>+'Resumen '!F56</f>
        <v>149069</v>
      </c>
      <c r="E10" s="860">
        <f t="shared" si="2"/>
        <v>0.51744977159439609</v>
      </c>
      <c r="F10" s="859">
        <f>+'Resumen '!G56</f>
        <v>139015</v>
      </c>
      <c r="G10" s="861">
        <f t="shared" si="3"/>
        <v>0.48255022840560391</v>
      </c>
      <c r="H10" s="51"/>
      <c r="I10" s="115"/>
      <c r="J10" s="115"/>
      <c r="K10" s="115"/>
      <c r="L10" s="846"/>
      <c r="M10" s="1022" t="s">
        <v>280</v>
      </c>
      <c r="N10" s="1023">
        <v>278796</v>
      </c>
      <c r="O10" s="1023">
        <v>148026</v>
      </c>
      <c r="P10" s="1024">
        <v>130770</v>
      </c>
      <c r="Q10" s="1021"/>
      <c r="R10" s="1021"/>
      <c r="S10" s="1021"/>
      <c r="T10" s="1021"/>
      <c r="AL10" s="864" t="s">
        <v>734</v>
      </c>
      <c r="AM10" s="865">
        <v>110599</v>
      </c>
      <c r="AN10" s="865">
        <v>-88163</v>
      </c>
      <c r="AO10" s="865" t="e">
        <f t="shared" si="4"/>
        <v>#VALUE!</v>
      </c>
    </row>
    <row r="11" spans="1:41" s="35" customFormat="1" ht="37.5">
      <c r="A11" s="856" t="s">
        <v>737</v>
      </c>
      <c r="B11" s="857">
        <f t="shared" si="1"/>
        <v>245661</v>
      </c>
      <c r="C11" s="858">
        <f t="shared" si="0"/>
        <v>9.615088809852862E-2</v>
      </c>
      <c r="D11" s="859">
        <f>+'Resumen '!F57</f>
        <v>131248</v>
      </c>
      <c r="E11" s="860">
        <f t="shared" si="2"/>
        <v>0.53426469810022759</v>
      </c>
      <c r="F11" s="859">
        <f>+'Resumen '!G57</f>
        <v>114413</v>
      </c>
      <c r="G11" s="861">
        <f t="shared" si="3"/>
        <v>0.46573530189977247</v>
      </c>
      <c r="H11" s="51"/>
      <c r="I11" s="115"/>
      <c r="J11" s="115"/>
      <c r="K11" s="115"/>
      <c r="L11" s="846"/>
      <c r="M11" s="1022" t="s">
        <v>281</v>
      </c>
      <c r="N11" s="1023">
        <v>222410</v>
      </c>
      <c r="O11" s="1023">
        <v>120316</v>
      </c>
      <c r="P11" s="1024">
        <v>102094</v>
      </c>
      <c r="Q11" s="1021"/>
      <c r="R11" s="1021"/>
      <c r="S11" s="1021"/>
      <c r="T11" s="1021"/>
      <c r="AL11" s="864" t="s">
        <v>735</v>
      </c>
      <c r="AM11" s="865">
        <v>94068</v>
      </c>
      <c r="AN11" s="865">
        <v>-78209</v>
      </c>
      <c r="AO11" s="865" t="e">
        <f t="shared" si="4"/>
        <v>#VALUE!</v>
      </c>
    </row>
    <row r="12" spans="1:41" s="35" customFormat="1" ht="37.5">
      <c r="A12" s="856" t="s">
        <v>738</v>
      </c>
      <c r="B12" s="857">
        <f t="shared" si="1"/>
        <v>195027</v>
      </c>
      <c r="C12" s="858">
        <f t="shared" si="0"/>
        <v>7.6332911016367036E-2</v>
      </c>
      <c r="D12" s="859">
        <f>+'Resumen '!F58</f>
        <v>106962</v>
      </c>
      <c r="E12" s="860">
        <f t="shared" si="2"/>
        <v>0.54844713808857237</v>
      </c>
      <c r="F12" s="859">
        <f>+'Resumen '!G58</f>
        <v>88065</v>
      </c>
      <c r="G12" s="861">
        <f t="shared" si="3"/>
        <v>0.45155286191142763</v>
      </c>
      <c r="H12" s="51"/>
      <c r="I12" s="115"/>
      <c r="J12" s="115"/>
      <c r="K12" s="115"/>
      <c r="L12" s="80"/>
      <c r="M12" s="1022" t="s">
        <v>282</v>
      </c>
      <c r="N12" s="1023">
        <v>182692</v>
      </c>
      <c r="O12" s="1023">
        <v>100431</v>
      </c>
      <c r="P12" s="1024">
        <v>82261</v>
      </c>
      <c r="Q12" s="1021"/>
      <c r="R12" s="1021"/>
      <c r="S12" s="1021"/>
      <c r="T12" s="1021"/>
      <c r="AL12" s="864" t="s">
        <v>736</v>
      </c>
      <c r="AM12" s="865">
        <v>82896</v>
      </c>
      <c r="AN12" s="865">
        <v>-70646</v>
      </c>
      <c r="AO12" s="865" t="e">
        <f t="shared" si="4"/>
        <v>#VALUE!</v>
      </c>
    </row>
    <row r="13" spans="1:41" s="35" customFormat="1" ht="37.5">
      <c r="A13" s="856" t="s">
        <v>739</v>
      </c>
      <c r="B13" s="857">
        <f t="shared" si="1"/>
        <v>153488</v>
      </c>
      <c r="C13" s="858">
        <f t="shared" si="0"/>
        <v>6.0074686305384088E-2</v>
      </c>
      <c r="D13" s="859">
        <f>+'Resumen '!F59</f>
        <v>85540</v>
      </c>
      <c r="E13" s="860">
        <f t="shared" si="2"/>
        <v>0.55730741165433129</v>
      </c>
      <c r="F13" s="859">
        <f>+'Resumen '!G59</f>
        <v>67948</v>
      </c>
      <c r="G13" s="861">
        <f t="shared" si="3"/>
        <v>0.44269258834566871</v>
      </c>
      <c r="H13" s="51"/>
      <c r="I13" s="115"/>
      <c r="J13" s="115"/>
      <c r="K13" s="115"/>
      <c r="L13" s="80"/>
      <c r="M13" s="1022" t="s">
        <v>283</v>
      </c>
      <c r="N13" s="1023">
        <v>146064</v>
      </c>
      <c r="O13" s="1023">
        <v>81241</v>
      </c>
      <c r="P13" s="1024">
        <v>64823</v>
      </c>
      <c r="Q13" s="1021"/>
      <c r="R13" s="1021"/>
      <c r="S13" s="1021"/>
      <c r="T13" s="1021"/>
      <c r="AL13" s="864" t="s">
        <v>737</v>
      </c>
      <c r="AM13" s="865">
        <v>68381</v>
      </c>
      <c r="AN13" s="865">
        <v>-56998</v>
      </c>
      <c r="AO13" s="865" t="e">
        <f t="shared" si="4"/>
        <v>#VALUE!</v>
      </c>
    </row>
    <row r="14" spans="1:41" s="35" customFormat="1" ht="37.5">
      <c r="A14" s="856" t="s">
        <v>740</v>
      </c>
      <c r="B14" s="857">
        <f t="shared" si="1"/>
        <v>101245</v>
      </c>
      <c r="C14" s="858">
        <f t="shared" si="0"/>
        <v>3.962695204177924E-2</v>
      </c>
      <c r="D14" s="859">
        <f>+'Resumen '!F60</f>
        <v>57750</v>
      </c>
      <c r="E14" s="860">
        <f t="shared" si="2"/>
        <v>0.57039853819941722</v>
      </c>
      <c r="F14" s="859">
        <f>+'Resumen '!G60</f>
        <v>43495</v>
      </c>
      <c r="G14" s="861">
        <f t="shared" si="3"/>
        <v>0.42960146180058273</v>
      </c>
      <c r="H14" s="51"/>
      <c r="I14" s="115"/>
      <c r="J14" s="115"/>
      <c r="K14" s="115"/>
      <c r="L14" s="80"/>
      <c r="M14" s="1022" t="s">
        <v>284</v>
      </c>
      <c r="N14" s="1023">
        <v>91593</v>
      </c>
      <c r="O14" s="1023">
        <v>51880</v>
      </c>
      <c r="P14" s="1024">
        <v>39713</v>
      </c>
      <c r="Q14" s="1021"/>
      <c r="R14" s="1021"/>
      <c r="S14" s="1021"/>
      <c r="T14" s="1021"/>
      <c r="AL14" s="864" t="s">
        <v>738</v>
      </c>
      <c r="AM14" s="865">
        <v>53231</v>
      </c>
      <c r="AN14" s="865">
        <v>-40454</v>
      </c>
      <c r="AO14" s="865" t="e">
        <f t="shared" si="4"/>
        <v>#VALUE!</v>
      </c>
    </row>
    <row r="15" spans="1:41" s="35" customFormat="1" ht="37.5">
      <c r="A15" s="856" t="s">
        <v>741</v>
      </c>
      <c r="B15" s="857">
        <f t="shared" si="1"/>
        <v>57979</v>
      </c>
      <c r="C15" s="858">
        <f t="shared" si="0"/>
        <v>2.269278534673632E-2</v>
      </c>
      <c r="D15" s="859">
        <f>+'Resumen '!F61</f>
        <v>34674</v>
      </c>
      <c r="E15" s="860">
        <f t="shared" si="2"/>
        <v>0.59804411942254954</v>
      </c>
      <c r="F15" s="859">
        <f>+'Resumen '!G61</f>
        <v>23305</v>
      </c>
      <c r="G15" s="861">
        <f t="shared" si="3"/>
        <v>0.40195588057745046</v>
      </c>
      <c r="H15" s="51"/>
      <c r="I15" s="115"/>
      <c r="J15" s="115"/>
      <c r="K15" s="115"/>
      <c r="L15" s="80"/>
      <c r="M15" s="1022" t="s">
        <v>285</v>
      </c>
      <c r="N15" s="1023">
        <v>54331</v>
      </c>
      <c r="O15" s="1023">
        <v>32010</v>
      </c>
      <c r="P15" s="1024">
        <v>22321</v>
      </c>
      <c r="Q15" s="1021"/>
      <c r="R15" s="1021"/>
      <c r="S15" s="1021"/>
      <c r="T15" s="1021"/>
      <c r="AL15" s="864" t="s">
        <v>739</v>
      </c>
      <c r="AM15" s="865">
        <v>39299</v>
      </c>
      <c r="AN15" s="865">
        <v>-25509</v>
      </c>
      <c r="AO15" s="865" t="e">
        <f t="shared" si="4"/>
        <v>#VALUE!</v>
      </c>
    </row>
    <row r="16" spans="1:41" s="35" customFormat="1" ht="37.5">
      <c r="A16" s="856" t="s">
        <v>742</v>
      </c>
      <c r="B16" s="857">
        <f t="shared" si="1"/>
        <v>31822</v>
      </c>
      <c r="C16" s="858">
        <f t="shared" si="0"/>
        <v>1.2455023634485644E-2</v>
      </c>
      <c r="D16" s="859">
        <f>+'Resumen '!F62</f>
        <v>19416</v>
      </c>
      <c r="E16" s="860">
        <f t="shared" si="2"/>
        <v>0.61014392558607256</v>
      </c>
      <c r="F16" s="859">
        <f>+'Resumen '!G62</f>
        <v>12406</v>
      </c>
      <c r="G16" s="861">
        <f t="shared" si="3"/>
        <v>0.38985607441392744</v>
      </c>
      <c r="H16" s="51"/>
      <c r="I16" s="115"/>
      <c r="J16" s="115"/>
      <c r="K16" s="115"/>
      <c r="L16" s="80"/>
      <c r="M16" s="1022" t="s">
        <v>286</v>
      </c>
      <c r="N16" s="1023">
        <v>29329</v>
      </c>
      <c r="O16" s="1023">
        <v>17494</v>
      </c>
      <c r="P16" s="1024">
        <v>11835</v>
      </c>
      <c r="Q16" s="1021"/>
      <c r="R16" s="1021"/>
      <c r="S16" s="1021"/>
      <c r="T16" s="1021"/>
      <c r="AL16" s="864" t="s">
        <v>740</v>
      </c>
      <c r="AM16" s="865">
        <v>25049</v>
      </c>
      <c r="AN16" s="865">
        <v>-13161</v>
      </c>
      <c r="AO16" s="865" t="e">
        <f t="shared" si="4"/>
        <v>#VALUE!</v>
      </c>
    </row>
    <row r="17" spans="1:41" s="35" customFormat="1" ht="37.5">
      <c r="A17" s="856" t="s">
        <v>743</v>
      </c>
      <c r="B17" s="857">
        <f t="shared" si="1"/>
        <v>15719</v>
      </c>
      <c r="C17" s="858">
        <f t="shared" si="0"/>
        <v>6.1523636638325637E-3</v>
      </c>
      <c r="D17" s="859">
        <f>+'Resumen '!F63</f>
        <v>9318</v>
      </c>
      <c r="E17" s="860">
        <f t="shared" si="2"/>
        <v>0.59278580062344932</v>
      </c>
      <c r="F17" s="859">
        <f>+'Resumen '!G63</f>
        <v>6401</v>
      </c>
      <c r="G17" s="861">
        <f t="shared" si="3"/>
        <v>0.40721419937655068</v>
      </c>
      <c r="H17" s="51"/>
      <c r="I17" s="115"/>
      <c r="J17" s="115"/>
      <c r="K17" s="115"/>
      <c r="L17" s="80"/>
      <c r="M17" s="1022" t="s">
        <v>287</v>
      </c>
      <c r="N17" s="1023">
        <v>14440</v>
      </c>
      <c r="O17" s="1023">
        <v>8450</v>
      </c>
      <c r="P17" s="1024">
        <v>5990</v>
      </c>
      <c r="Q17" s="1021"/>
      <c r="R17" s="1021"/>
      <c r="S17" s="1021"/>
      <c r="T17" s="1021"/>
      <c r="AL17" s="864" t="s">
        <v>741</v>
      </c>
      <c r="AM17" s="865">
        <v>13405</v>
      </c>
      <c r="AN17" s="865">
        <v>-5601</v>
      </c>
      <c r="AO17" s="865" t="e">
        <f t="shared" si="4"/>
        <v>#VALUE!</v>
      </c>
    </row>
    <row r="18" spans="1:41" s="35" customFormat="1" ht="37.5">
      <c r="A18" s="856" t="s">
        <v>744</v>
      </c>
      <c r="B18" s="857">
        <f t="shared" si="1"/>
        <v>6702</v>
      </c>
      <c r="C18" s="858">
        <f t="shared" si="0"/>
        <v>2.6231402299768331E-3</v>
      </c>
      <c r="D18" s="859">
        <f>+'Resumen '!F64</f>
        <v>3863</v>
      </c>
      <c r="E18" s="860">
        <f t="shared" si="2"/>
        <v>0.57639510593852583</v>
      </c>
      <c r="F18" s="859">
        <f>+'Resumen '!G64</f>
        <v>2839</v>
      </c>
      <c r="G18" s="861">
        <f t="shared" si="3"/>
        <v>0.42360489406147417</v>
      </c>
      <c r="H18" s="51"/>
      <c r="I18" s="115"/>
      <c r="J18" s="115"/>
      <c r="K18" s="115"/>
      <c r="L18" s="846"/>
      <c r="M18" s="1022" t="s">
        <v>288</v>
      </c>
      <c r="N18" s="1023">
        <v>7157</v>
      </c>
      <c r="O18" s="1023">
        <v>4122</v>
      </c>
      <c r="P18" s="1024">
        <v>3035</v>
      </c>
      <c r="Q18" s="1021"/>
      <c r="R18" s="1021"/>
      <c r="S18" s="1021"/>
      <c r="T18" s="1021"/>
      <c r="AL18" s="864" t="s">
        <v>742</v>
      </c>
      <c r="AM18" s="865">
        <v>7875</v>
      </c>
      <c r="AN18" s="865">
        <v>-2898</v>
      </c>
      <c r="AO18" s="865" t="e">
        <f t="shared" si="4"/>
        <v>#VALUE!</v>
      </c>
    </row>
    <row r="19" spans="1:41" s="35" customFormat="1" ht="37.5">
      <c r="A19" s="856" t="s">
        <v>745</v>
      </c>
      <c r="B19" s="857">
        <f t="shared" si="1"/>
        <v>4603</v>
      </c>
      <c r="C19" s="858">
        <f t="shared" si="0"/>
        <v>1.8015986986844768E-3</v>
      </c>
      <c r="D19" s="859">
        <f>+'Resumen '!F65</f>
        <v>2542</v>
      </c>
      <c r="E19" s="860">
        <f t="shared" si="2"/>
        <v>0.55224853356506631</v>
      </c>
      <c r="F19" s="859">
        <f>+'Resumen '!G65</f>
        <v>2061</v>
      </c>
      <c r="G19" s="861">
        <f t="shared" si="3"/>
        <v>0.44775146643493374</v>
      </c>
      <c r="H19" s="51"/>
      <c r="I19" s="115"/>
      <c r="J19" s="115"/>
      <c r="K19" s="115"/>
      <c r="L19" s="846"/>
      <c r="M19" s="1025" t="s">
        <v>289</v>
      </c>
      <c r="N19" s="1026">
        <v>4499</v>
      </c>
      <c r="O19" s="1026">
        <v>2462</v>
      </c>
      <c r="P19" s="1027">
        <v>2037</v>
      </c>
      <c r="Q19" s="1021"/>
      <c r="R19" s="1021"/>
      <c r="S19" s="1021"/>
      <c r="T19" s="1021"/>
      <c r="AL19" s="864" t="s">
        <v>743</v>
      </c>
      <c r="AM19" s="865">
        <v>3939</v>
      </c>
      <c r="AN19" s="865">
        <v>-1434</v>
      </c>
      <c r="AO19" s="865" t="e">
        <f t="shared" si="4"/>
        <v>#VALUE!</v>
      </c>
    </row>
    <row r="20" spans="1:41" s="35" customFormat="1" ht="37.5">
      <c r="A20" s="856" t="s">
        <v>746</v>
      </c>
      <c r="B20" s="857">
        <f t="shared" si="1"/>
        <v>1</v>
      </c>
      <c r="C20" s="858">
        <f t="shared" si="0"/>
        <v>3.9139663234509598E-7</v>
      </c>
      <c r="D20" s="859">
        <f>+'Resumen '!F66</f>
        <v>1</v>
      </c>
      <c r="E20" s="860">
        <f t="shared" si="2"/>
        <v>1</v>
      </c>
      <c r="F20" s="1247" t="str">
        <f>+'Resumen '!G66</f>
        <v>0</v>
      </c>
      <c r="G20" s="861">
        <f t="shared" si="3"/>
        <v>0</v>
      </c>
      <c r="H20" s="51"/>
      <c r="I20" s="115"/>
      <c r="J20" s="115"/>
      <c r="K20" s="115"/>
      <c r="L20" s="80"/>
      <c r="M20" s="1028" t="s">
        <v>290</v>
      </c>
      <c r="N20" s="1029">
        <v>2</v>
      </c>
      <c r="O20" s="1029">
        <v>2</v>
      </c>
      <c r="P20" s="1030">
        <v>0</v>
      </c>
      <c r="Q20" s="1021"/>
      <c r="R20" s="1021"/>
      <c r="S20" s="1021"/>
      <c r="T20" s="1021"/>
      <c r="AL20" s="864" t="s">
        <v>744</v>
      </c>
      <c r="AM20" s="865">
        <v>1841</v>
      </c>
      <c r="AN20" s="865">
        <v>-673</v>
      </c>
      <c r="AO20" s="865" t="e">
        <f t="shared" si="4"/>
        <v>#VALUE!</v>
      </c>
    </row>
    <row r="21" spans="1:41" s="35" customFormat="1" ht="37.5">
      <c r="A21" s="852" t="s">
        <v>235</v>
      </c>
      <c r="B21" s="853">
        <f>SUM(B5:B20)</f>
        <v>2554953</v>
      </c>
      <c r="C21" s="854">
        <f>SUM(C5:C19)</f>
        <v>0.99999960860336756</v>
      </c>
      <c r="D21" s="853">
        <f>SUM(D5:D20)</f>
        <v>1356180</v>
      </c>
      <c r="E21" s="866">
        <f t="shared" si="2"/>
        <v>0.53080428485377229</v>
      </c>
      <c r="F21" s="853">
        <f>SUM(F5:F20)</f>
        <v>1198773</v>
      </c>
      <c r="G21" s="867">
        <f t="shared" si="3"/>
        <v>0.46919571514622777</v>
      </c>
      <c r="H21" s="51"/>
      <c r="I21" s="868"/>
      <c r="J21" s="868"/>
      <c r="K21" s="868"/>
      <c r="L21" s="869"/>
      <c r="M21" s="1031"/>
      <c r="N21" s="1021"/>
      <c r="O21" s="1021"/>
      <c r="P21" s="1032"/>
      <c r="Q21" s="1021"/>
      <c r="R21" s="1021"/>
      <c r="S21" s="1021"/>
      <c r="T21" s="1021"/>
      <c r="AL21" s="864" t="s">
        <v>745</v>
      </c>
      <c r="AM21" s="865">
        <v>855</v>
      </c>
      <c r="AN21" s="865">
        <v>-303</v>
      </c>
      <c r="AO21" s="865" t="e">
        <f t="shared" si="4"/>
        <v>#VALUE!</v>
      </c>
    </row>
    <row r="22" spans="1:41">
      <c r="A22" s="1326"/>
      <c r="B22" s="1772"/>
      <c r="C22" s="1772"/>
      <c r="D22" s="1772"/>
      <c r="E22" s="1772"/>
      <c r="F22" s="1772"/>
      <c r="G22" s="1772"/>
      <c r="H22" s="8"/>
      <c r="I22" s="13"/>
      <c r="J22" s="13"/>
      <c r="K22" s="13"/>
      <c r="L22" s="79"/>
      <c r="M22" s="1033">
        <f>+B21-'III.6.3.Afil. SRL'!C22</f>
        <v>0</v>
      </c>
      <c r="AL22" s="26" t="s">
        <v>235</v>
      </c>
      <c r="AM22" s="17">
        <f>SUM(AM7:AM21)</f>
        <v>724953</v>
      </c>
      <c r="AN22" s="17">
        <f>SUM(AN7:AN21)</f>
        <v>-545405</v>
      </c>
    </row>
    <row r="23" spans="1:41">
      <c r="B23" s="8"/>
      <c r="C23" s="8"/>
      <c r="D23" s="8"/>
      <c r="E23" s="8"/>
      <c r="F23" s="8"/>
      <c r="G23" s="8"/>
      <c r="H23" s="8"/>
      <c r="I23" s="8"/>
      <c r="J23" s="8"/>
      <c r="K23" s="8"/>
      <c r="L23" s="79"/>
      <c r="M23" s="1033"/>
    </row>
    <row r="24" spans="1:41">
      <c r="B24" s="8"/>
      <c r="C24" s="8"/>
      <c r="D24" s="8"/>
      <c r="E24" s="8"/>
      <c r="F24" s="8"/>
      <c r="G24" s="8"/>
      <c r="H24" s="8"/>
      <c r="I24" s="8"/>
      <c r="J24" s="8"/>
      <c r="K24" s="8"/>
      <c r="L24" s="79"/>
      <c r="M24" s="1033"/>
    </row>
    <row r="25" spans="1:41">
      <c r="B25" s="8"/>
      <c r="C25" s="8"/>
      <c r="D25" s="8"/>
      <c r="E25" s="8"/>
      <c r="F25" s="8"/>
      <c r="G25" s="8"/>
      <c r="H25" s="8"/>
      <c r="I25" s="8"/>
      <c r="J25" s="8"/>
      <c r="K25" s="8"/>
      <c r="L25" s="79"/>
      <c r="M25" s="1033">
        <f>+B21-'III.6.3.Afil. SRL'!C22</f>
        <v>0</v>
      </c>
    </row>
    <row r="26" spans="1:41">
      <c r="B26" s="8"/>
      <c r="C26" s="8"/>
      <c r="D26" s="8"/>
      <c r="E26" s="8"/>
      <c r="F26" s="8"/>
      <c r="G26" s="8"/>
      <c r="H26" s="8"/>
      <c r="I26" s="8"/>
      <c r="J26" s="8"/>
      <c r="K26" s="8"/>
      <c r="L26" s="79"/>
      <c r="M26" s="1033"/>
    </row>
    <row r="27" spans="1:41">
      <c r="B27" s="523"/>
      <c r="C27" s="523"/>
      <c r="D27" s="523"/>
      <c r="E27" s="523"/>
      <c r="F27" s="523"/>
      <c r="G27" s="8"/>
      <c r="H27" s="8"/>
      <c r="I27" s="8"/>
      <c r="J27" s="8"/>
      <c r="K27" s="8"/>
      <c r="L27" s="79"/>
      <c r="M27" s="1033"/>
    </row>
    <row r="28" spans="1:41">
      <c r="B28" s="523"/>
      <c r="C28" s="523"/>
      <c r="D28" s="523"/>
      <c r="E28" s="523"/>
      <c r="F28" s="523"/>
      <c r="G28" s="8"/>
      <c r="H28" s="8"/>
      <c r="I28" s="8"/>
      <c r="J28" s="8"/>
      <c r="K28" s="8"/>
      <c r="L28" s="79"/>
      <c r="M28" s="1033"/>
    </row>
    <row r="29" spans="1:41">
      <c r="B29" s="523"/>
      <c r="C29" s="523"/>
      <c r="D29" s="523"/>
      <c r="E29" s="523"/>
      <c r="F29" s="523"/>
      <c r="G29" s="8"/>
      <c r="H29" s="8"/>
      <c r="I29" s="8"/>
      <c r="J29" s="8"/>
      <c r="K29" s="8"/>
      <c r="L29" s="79"/>
      <c r="M29" s="1033"/>
    </row>
    <row r="30" spans="1:41">
      <c r="B30" s="523"/>
      <c r="C30" s="16"/>
      <c r="D30" s="16"/>
      <c r="E30" s="16"/>
      <c r="F30" s="16"/>
      <c r="G30" s="8"/>
      <c r="H30" s="8"/>
      <c r="I30" s="8"/>
      <c r="J30" s="8"/>
      <c r="K30" s="8"/>
      <c r="L30" s="79"/>
      <c r="M30" s="1033"/>
    </row>
    <row r="31" spans="1:41">
      <c r="B31" s="523"/>
      <c r="C31" s="2213" t="s">
        <v>732</v>
      </c>
      <c r="D31" s="16"/>
      <c r="E31" s="16"/>
      <c r="F31" s="16"/>
      <c r="G31" s="8"/>
      <c r="H31" s="8"/>
      <c r="I31" s="8"/>
      <c r="J31" s="8"/>
      <c r="K31" s="8"/>
      <c r="L31" s="79"/>
      <c r="M31" s="1033"/>
    </row>
    <row r="32" spans="1:41">
      <c r="B32" s="523"/>
      <c r="C32" s="2213"/>
      <c r="D32" s="848" t="s">
        <v>176</v>
      </c>
      <c r="E32" s="848" t="s">
        <v>177</v>
      </c>
      <c r="F32" s="16"/>
      <c r="G32" s="8"/>
      <c r="H32" s="8"/>
      <c r="I32" s="8"/>
      <c r="J32" s="8"/>
      <c r="K32" s="8"/>
      <c r="L32" s="79"/>
      <c r="M32" s="1033"/>
    </row>
    <row r="33" spans="2:34">
      <c r="B33" s="523"/>
      <c r="C33" s="849" t="s">
        <v>729</v>
      </c>
      <c r="D33" s="850">
        <f>F5*-1</f>
        <v>-18440</v>
      </c>
      <c r="E33" s="851">
        <f>+D5</f>
        <v>26970</v>
      </c>
      <c r="F33" s="16"/>
      <c r="G33" s="8"/>
      <c r="H33" s="8"/>
      <c r="I33" s="8"/>
      <c r="J33" s="8"/>
      <c r="K33" s="8"/>
      <c r="L33" s="79"/>
      <c r="M33" s="1033"/>
    </row>
    <row r="34" spans="2:34">
      <c r="B34" s="523"/>
      <c r="C34" s="849" t="s">
        <v>731</v>
      </c>
      <c r="D34" s="850">
        <f t="shared" ref="D34:D47" si="5">F6*-1</f>
        <v>-138670</v>
      </c>
      <c r="E34" s="851">
        <f t="shared" ref="E34:E47" si="6">+D6</f>
        <v>161086</v>
      </c>
      <c r="F34" s="16"/>
      <c r="G34" s="8"/>
      <c r="H34" s="8"/>
      <c r="I34" s="8"/>
      <c r="J34" s="8"/>
      <c r="K34" s="8"/>
      <c r="L34" s="79"/>
      <c r="M34" s="1033"/>
    </row>
    <row r="35" spans="2:34">
      <c r="B35" s="523"/>
      <c r="C35" s="849" t="s">
        <v>733</v>
      </c>
      <c r="D35" s="850">
        <f t="shared" si="5"/>
        <v>-184317</v>
      </c>
      <c r="E35" s="851">
        <f t="shared" si="6"/>
        <v>194282</v>
      </c>
      <c r="F35" s="16"/>
      <c r="G35" s="8"/>
      <c r="H35" s="8"/>
      <c r="I35" s="8"/>
      <c r="J35" s="8"/>
      <c r="K35" s="8"/>
      <c r="L35" s="79"/>
      <c r="M35" s="1033"/>
    </row>
    <row r="36" spans="2:34">
      <c r="B36" s="523"/>
      <c r="C36" s="849" t="s">
        <v>734</v>
      </c>
      <c r="D36" s="850">
        <f t="shared" si="5"/>
        <v>-193641</v>
      </c>
      <c r="E36" s="851">
        <f t="shared" si="6"/>
        <v>201158</v>
      </c>
      <c r="F36" s="16"/>
      <c r="G36" s="8"/>
      <c r="H36" s="8"/>
      <c r="I36" s="8"/>
      <c r="J36" s="8"/>
      <c r="K36" s="8"/>
      <c r="L36" s="137"/>
      <c r="M36" s="1033"/>
      <c r="S36" s="1034"/>
      <c r="T36" s="1034"/>
      <c r="U36" s="13"/>
      <c r="V36" s="13"/>
      <c r="W36" s="13"/>
      <c r="X36" s="13"/>
      <c r="Y36" s="13"/>
      <c r="Z36" s="13"/>
      <c r="AA36" s="13"/>
      <c r="AB36" s="13"/>
      <c r="AC36" s="13"/>
      <c r="AD36" s="13"/>
      <c r="AE36" s="13"/>
      <c r="AF36" s="13"/>
      <c r="AG36" s="9"/>
      <c r="AH36" s="9"/>
    </row>
    <row r="37" spans="2:34">
      <c r="B37" s="523"/>
      <c r="C37" s="849" t="s">
        <v>735</v>
      </c>
      <c r="D37" s="850">
        <f t="shared" si="5"/>
        <v>-163757</v>
      </c>
      <c r="E37" s="851">
        <f t="shared" si="6"/>
        <v>172301</v>
      </c>
      <c r="F37" s="16"/>
      <c r="G37" s="8"/>
      <c r="H37" s="8"/>
      <c r="I37" s="8"/>
      <c r="J37" s="8"/>
      <c r="K37" s="8"/>
      <c r="L37" s="137"/>
      <c r="M37" s="1033"/>
      <c r="S37" s="1034"/>
      <c r="T37" s="1034"/>
      <c r="U37" s="13"/>
      <c r="V37" s="13"/>
      <c r="W37" s="13"/>
      <c r="X37" s="13"/>
      <c r="Y37" s="13"/>
      <c r="Z37" s="13"/>
      <c r="AA37" s="13"/>
      <c r="AB37" s="13"/>
      <c r="AC37" s="13"/>
      <c r="AD37" s="13"/>
      <c r="AE37" s="13"/>
      <c r="AF37" s="13"/>
      <c r="AG37" s="9"/>
      <c r="AH37" s="9"/>
    </row>
    <row r="38" spans="2:34">
      <c r="B38" s="523"/>
      <c r="C38" s="849" t="s">
        <v>736</v>
      </c>
      <c r="D38" s="850">
        <f t="shared" si="5"/>
        <v>-139015</v>
      </c>
      <c r="E38" s="851">
        <f t="shared" si="6"/>
        <v>149069</v>
      </c>
      <c r="F38" s="16"/>
      <c r="G38" s="8"/>
      <c r="H38" s="8"/>
      <c r="I38" s="8"/>
      <c r="J38" s="8"/>
      <c r="K38" s="8"/>
      <c r="L38" s="137"/>
      <c r="M38" s="1033"/>
      <c r="Q38" s="1034"/>
      <c r="R38" s="1034"/>
      <c r="S38" s="1034"/>
      <c r="T38" s="1034"/>
      <c r="U38" s="13"/>
      <c r="V38" s="13"/>
      <c r="W38" s="13"/>
      <c r="X38" s="13"/>
      <c r="Y38" s="13"/>
      <c r="Z38" s="13"/>
      <c r="AA38" s="13"/>
      <c r="AB38" s="13"/>
      <c r="AC38" s="13"/>
      <c r="AD38" s="13"/>
      <c r="AE38" s="13"/>
      <c r="AF38" s="13"/>
      <c r="AG38" s="9"/>
      <c r="AH38" s="9"/>
    </row>
    <row r="39" spans="2:34">
      <c r="B39" s="523"/>
      <c r="C39" s="849" t="s">
        <v>737</v>
      </c>
      <c r="D39" s="850">
        <f t="shared" si="5"/>
        <v>-114413</v>
      </c>
      <c r="E39" s="851">
        <f t="shared" si="6"/>
        <v>131248</v>
      </c>
      <c r="F39" s="16"/>
      <c r="G39" s="8"/>
      <c r="H39" s="8"/>
      <c r="I39" s="8"/>
      <c r="J39" s="8"/>
      <c r="K39" s="8"/>
      <c r="L39" s="137"/>
      <c r="M39" s="1033"/>
      <c r="Q39" s="1034"/>
      <c r="R39" s="1034"/>
      <c r="S39" s="1034"/>
      <c r="T39" s="1034"/>
      <c r="U39" s="13"/>
      <c r="V39" s="13"/>
      <c r="W39" s="13"/>
      <c r="X39" s="13"/>
      <c r="Y39" s="13"/>
      <c r="Z39" s="13"/>
      <c r="AA39" s="13"/>
      <c r="AB39" s="13"/>
      <c r="AC39" s="13"/>
      <c r="AD39" s="13"/>
      <c r="AE39" s="13"/>
      <c r="AF39" s="13"/>
      <c r="AG39" s="9"/>
      <c r="AH39" s="9"/>
    </row>
    <row r="40" spans="2:34" ht="97.5" customHeight="1">
      <c r="B40" s="523"/>
      <c r="C40" s="849" t="s">
        <v>738</v>
      </c>
      <c r="D40" s="850">
        <f t="shared" si="5"/>
        <v>-88065</v>
      </c>
      <c r="E40" s="851">
        <f t="shared" si="6"/>
        <v>106962</v>
      </c>
      <c r="F40" s="16"/>
      <c r="G40" s="8"/>
      <c r="H40" s="8"/>
      <c r="I40" s="8"/>
      <c r="J40" s="8"/>
      <c r="K40" s="8"/>
      <c r="L40" s="137"/>
      <c r="M40" s="1033"/>
      <c r="Q40" s="1034"/>
      <c r="R40" s="1034"/>
      <c r="S40" s="1034"/>
      <c r="T40" s="1034"/>
      <c r="U40" s="13"/>
      <c r="V40" s="13"/>
      <c r="W40" s="13"/>
      <c r="X40" s="13"/>
      <c r="Y40" s="13"/>
      <c r="Z40" s="13"/>
      <c r="AA40" s="13"/>
      <c r="AB40" s="13"/>
      <c r="AC40" s="13"/>
      <c r="AD40" s="13"/>
      <c r="AE40" s="13"/>
      <c r="AF40" s="13"/>
      <c r="AG40" s="9"/>
      <c r="AH40" s="9"/>
    </row>
    <row r="41" spans="2:34" ht="97.5" customHeight="1">
      <c r="B41" s="523"/>
      <c r="C41" s="849" t="s">
        <v>739</v>
      </c>
      <c r="D41" s="850">
        <f t="shared" si="5"/>
        <v>-67948</v>
      </c>
      <c r="E41" s="851">
        <f t="shared" si="6"/>
        <v>85540</v>
      </c>
      <c r="F41" s="16"/>
      <c r="G41" s="8"/>
      <c r="H41" s="8"/>
      <c r="I41" s="8"/>
      <c r="J41" s="8"/>
      <c r="K41" s="8"/>
      <c r="L41" s="137"/>
      <c r="M41" s="1033"/>
      <c r="Q41" s="1034"/>
      <c r="R41" s="1034"/>
      <c r="S41" s="1034"/>
      <c r="T41" s="1034"/>
      <c r="U41" s="13"/>
      <c r="V41" s="13"/>
      <c r="W41" s="13"/>
      <c r="X41" s="13"/>
      <c r="Y41" s="13"/>
      <c r="Z41" s="13"/>
      <c r="AA41" s="13"/>
      <c r="AB41" s="13"/>
      <c r="AC41" s="13"/>
      <c r="AD41" s="13"/>
      <c r="AE41" s="13"/>
      <c r="AF41" s="13"/>
      <c r="AG41" s="9"/>
      <c r="AH41" s="9"/>
    </row>
    <row r="42" spans="2:34" ht="97.5" customHeight="1">
      <c r="B42" s="523"/>
      <c r="C42" s="849" t="s">
        <v>740</v>
      </c>
      <c r="D42" s="850">
        <f t="shared" si="5"/>
        <v>-43495</v>
      </c>
      <c r="E42" s="851">
        <f t="shared" si="6"/>
        <v>57750</v>
      </c>
      <c r="F42" s="16"/>
      <c r="G42" s="8"/>
      <c r="H42" s="8"/>
      <c r="I42" s="8"/>
      <c r="J42" s="8"/>
      <c r="K42" s="8"/>
      <c r="L42" s="137"/>
      <c r="M42" s="1035"/>
      <c r="N42" s="1034"/>
      <c r="O42" s="1034"/>
      <c r="P42" s="1036"/>
      <c r="Q42" s="1034"/>
      <c r="R42" s="1034"/>
      <c r="S42" s="1034"/>
      <c r="T42" s="1034"/>
      <c r="U42" s="13"/>
      <c r="V42" s="13"/>
      <c r="W42" s="13"/>
      <c r="X42" s="13"/>
      <c r="Y42" s="13"/>
      <c r="Z42" s="13"/>
      <c r="AA42" s="13"/>
      <c r="AB42" s="13"/>
      <c r="AC42" s="13"/>
      <c r="AD42" s="13"/>
      <c r="AE42" s="13"/>
      <c r="AF42" s="13"/>
      <c r="AG42" s="9"/>
      <c r="AH42" s="9"/>
    </row>
    <row r="43" spans="2:34">
      <c r="B43" s="523"/>
      <c r="C43" s="849" t="s">
        <v>741</v>
      </c>
      <c r="D43" s="850">
        <f t="shared" si="5"/>
        <v>-23305</v>
      </c>
      <c r="E43" s="851">
        <f t="shared" si="6"/>
        <v>34674</v>
      </c>
      <c r="F43" s="16"/>
      <c r="G43" s="8"/>
      <c r="H43" s="8"/>
      <c r="I43" s="8"/>
      <c r="J43" s="8"/>
      <c r="K43" s="8"/>
      <c r="L43" s="13"/>
      <c r="M43" s="1035"/>
      <c r="N43" s="1034"/>
      <c r="O43" s="1034"/>
      <c r="P43" s="1036"/>
      <c r="Q43" s="1034"/>
      <c r="R43" s="1034"/>
      <c r="S43" s="1034"/>
      <c r="T43" s="1034"/>
      <c r="U43" s="13"/>
      <c r="V43" s="13"/>
      <c r="W43" s="13"/>
      <c r="X43" s="13"/>
      <c r="Y43" s="13"/>
      <c r="Z43" s="13"/>
      <c r="AA43" s="13"/>
      <c r="AB43" s="13"/>
      <c r="AC43" s="13"/>
      <c r="AD43" s="13"/>
      <c r="AE43" s="13"/>
      <c r="AF43" s="13"/>
      <c r="AG43" s="9"/>
      <c r="AH43" s="9"/>
    </row>
    <row r="44" spans="2:34">
      <c r="B44" s="523"/>
      <c r="C44" s="849" t="s">
        <v>742</v>
      </c>
      <c r="D44" s="850">
        <f t="shared" si="5"/>
        <v>-12406</v>
      </c>
      <c r="E44" s="851">
        <f t="shared" si="6"/>
        <v>19416</v>
      </c>
      <c r="F44" s="16"/>
      <c r="G44" s="8"/>
      <c r="H44" s="8"/>
      <c r="I44" s="8"/>
      <c r="J44" s="8"/>
      <c r="K44" s="8"/>
      <c r="L44" s="13"/>
      <c r="M44" s="1037"/>
      <c r="N44" s="1034"/>
      <c r="O44" s="1034"/>
      <c r="P44" s="1036"/>
      <c r="Q44" s="1034"/>
      <c r="R44" s="1034"/>
      <c r="S44" s="1034"/>
      <c r="T44" s="1034"/>
      <c r="U44" s="13"/>
      <c r="V44" s="13"/>
      <c r="W44" s="13"/>
      <c r="X44" s="13"/>
      <c r="Y44" s="13"/>
      <c r="Z44" s="13"/>
      <c r="AA44" s="13"/>
      <c r="AB44" s="13"/>
      <c r="AC44" s="13"/>
      <c r="AD44" s="13"/>
      <c r="AE44" s="13"/>
      <c r="AF44" s="13"/>
      <c r="AG44" s="9"/>
      <c r="AH44" s="9"/>
    </row>
    <row r="45" spans="2:34">
      <c r="B45" s="523"/>
      <c r="C45" s="849" t="s">
        <v>743</v>
      </c>
      <c r="D45" s="850">
        <f t="shared" si="5"/>
        <v>-6401</v>
      </c>
      <c r="E45" s="851">
        <f t="shared" si="6"/>
        <v>9318</v>
      </c>
      <c r="F45" s="16"/>
      <c r="G45" s="8"/>
      <c r="H45" s="8"/>
      <c r="I45" s="8"/>
      <c r="J45" s="8"/>
      <c r="K45" s="8"/>
      <c r="L45" s="13"/>
      <c r="M45" s="1037"/>
      <c r="N45" s="1034"/>
      <c r="O45" s="1034"/>
      <c r="P45" s="1036"/>
      <c r="Q45" s="1034"/>
      <c r="R45" s="1034"/>
      <c r="S45" s="1034"/>
      <c r="T45" s="1034"/>
      <c r="U45" s="13"/>
      <c r="V45" s="13"/>
      <c r="W45" s="13"/>
      <c r="X45" s="13"/>
      <c r="Y45" s="13"/>
      <c r="Z45" s="13"/>
      <c r="AA45" s="13"/>
      <c r="AB45" s="13"/>
      <c r="AC45" s="13"/>
      <c r="AD45" s="13"/>
      <c r="AE45" s="13"/>
      <c r="AF45" s="13"/>
      <c r="AG45" s="9"/>
      <c r="AH45" s="9"/>
    </row>
    <row r="46" spans="2:34">
      <c r="B46" s="523"/>
      <c r="C46" s="849" t="s">
        <v>744</v>
      </c>
      <c r="D46" s="850">
        <f t="shared" si="5"/>
        <v>-2839</v>
      </c>
      <c r="E46" s="851">
        <f t="shared" si="6"/>
        <v>3863</v>
      </c>
      <c r="F46" s="16"/>
      <c r="G46" s="8"/>
      <c r="H46" s="8"/>
      <c r="I46" s="8"/>
      <c r="J46" s="8"/>
      <c r="K46" s="8"/>
      <c r="L46" s="13"/>
      <c r="M46" s="1037"/>
      <c r="N46" s="1034"/>
      <c r="O46" s="1034"/>
      <c r="P46" s="1036"/>
      <c r="Q46" s="1034"/>
      <c r="R46" s="1034"/>
      <c r="S46" s="1034"/>
      <c r="T46" s="1034"/>
      <c r="U46" s="13"/>
      <c r="V46" s="13"/>
      <c r="W46" s="13"/>
      <c r="X46" s="13"/>
      <c r="Y46" s="13"/>
      <c r="Z46" s="13"/>
      <c r="AA46" s="13"/>
      <c r="AB46" s="13"/>
      <c r="AC46" s="13"/>
      <c r="AD46" s="13"/>
      <c r="AE46" s="13"/>
      <c r="AF46" s="13"/>
      <c r="AG46" s="9"/>
      <c r="AH46" s="9"/>
    </row>
    <row r="47" spans="2:34">
      <c r="B47" s="523"/>
      <c r="C47" s="849" t="s">
        <v>745</v>
      </c>
      <c r="D47" s="850">
        <f t="shared" si="5"/>
        <v>-2061</v>
      </c>
      <c r="E47" s="851">
        <f t="shared" si="6"/>
        <v>2542</v>
      </c>
      <c r="F47" s="16"/>
      <c r="G47" s="8"/>
      <c r="H47" s="8"/>
      <c r="I47" s="8"/>
      <c r="J47" s="8"/>
      <c r="K47" s="8"/>
      <c r="L47" s="13"/>
      <c r="M47" s="1037"/>
      <c r="N47" s="1034"/>
      <c r="O47" s="1034"/>
      <c r="P47" s="1036"/>
      <c r="Q47" s="1034"/>
      <c r="R47" s="1034"/>
      <c r="S47" s="1034"/>
      <c r="T47" s="1034"/>
      <c r="U47" s="13"/>
      <c r="V47" s="13"/>
      <c r="W47" s="13"/>
      <c r="X47" s="13"/>
      <c r="Y47" s="13"/>
      <c r="Z47" s="13"/>
      <c r="AA47" s="13"/>
      <c r="AB47" s="13"/>
      <c r="AC47" s="13"/>
      <c r="AD47" s="13"/>
      <c r="AE47" s="13"/>
      <c r="AF47" s="13"/>
      <c r="AG47" s="9"/>
      <c r="AH47" s="9"/>
    </row>
    <row r="48" spans="2:34">
      <c r="B48" s="523"/>
      <c r="C48" s="16"/>
      <c r="D48" s="16"/>
      <c r="E48" s="16"/>
      <c r="F48" s="16"/>
      <c r="G48" s="8"/>
      <c r="H48" s="8"/>
      <c r="L48" s="13"/>
      <c r="M48" s="1037"/>
      <c r="N48" s="1034"/>
      <c r="O48" s="1034"/>
      <c r="P48" s="1036"/>
      <c r="Q48" s="1034"/>
      <c r="R48" s="1034"/>
      <c r="S48" s="1034"/>
      <c r="T48" s="1034"/>
      <c r="U48" s="13"/>
      <c r="V48" s="13"/>
      <c r="W48" s="13"/>
      <c r="X48" s="13"/>
      <c r="Y48" s="13"/>
      <c r="Z48" s="13"/>
      <c r="AA48" s="13"/>
      <c r="AB48" s="13"/>
      <c r="AC48" s="13"/>
      <c r="AD48" s="13"/>
      <c r="AE48" s="13"/>
      <c r="AF48" s="13"/>
      <c r="AG48" s="9"/>
      <c r="AH48" s="9"/>
    </row>
    <row r="49" spans="2:34">
      <c r="B49" s="16"/>
      <c r="C49" s="16"/>
      <c r="D49" s="16"/>
      <c r="E49" s="16"/>
      <c r="F49" s="16"/>
      <c r="L49" s="13"/>
      <c r="M49" s="1037"/>
      <c r="N49" s="1034"/>
      <c r="O49" s="1034"/>
      <c r="P49" s="1036"/>
      <c r="Q49" s="1034"/>
      <c r="R49" s="1034"/>
      <c r="S49" s="1034"/>
      <c r="T49" s="1034"/>
      <c r="U49" s="13"/>
      <c r="V49" s="13"/>
      <c r="W49" s="13"/>
      <c r="X49" s="13"/>
      <c r="Y49" s="13"/>
      <c r="Z49" s="13"/>
      <c r="AA49" s="13"/>
      <c r="AB49" s="13"/>
      <c r="AC49" s="13"/>
      <c r="AD49" s="13"/>
      <c r="AE49" s="13"/>
      <c r="AF49" s="13"/>
      <c r="AG49" s="9"/>
      <c r="AH49" s="37"/>
    </row>
    <row r="50" spans="2:34">
      <c r="B50" s="16"/>
      <c r="C50" s="16"/>
      <c r="D50" s="16"/>
      <c r="E50" s="16"/>
      <c r="F50" s="16"/>
      <c r="L50" s="13"/>
      <c r="M50" s="1037"/>
      <c r="N50" s="1034"/>
      <c r="O50" s="1034"/>
      <c r="P50" s="1036"/>
      <c r="Q50" s="1034"/>
      <c r="R50" s="1034"/>
      <c r="S50" s="1034"/>
      <c r="T50" s="1034"/>
      <c r="U50" s="13"/>
      <c r="V50" s="13"/>
      <c r="W50" s="13"/>
      <c r="X50" s="13"/>
      <c r="Y50" s="13"/>
      <c r="Z50" s="13"/>
      <c r="AA50" s="13"/>
      <c r="AB50" s="13"/>
      <c r="AC50" s="13"/>
      <c r="AD50" s="13"/>
      <c r="AE50" s="13"/>
      <c r="AF50" s="38"/>
      <c r="AG50" s="9"/>
      <c r="AH50" s="37"/>
    </row>
    <row r="51" spans="2:34">
      <c r="B51" s="16"/>
      <c r="C51" s="16"/>
      <c r="D51" s="16"/>
      <c r="E51" s="16"/>
      <c r="F51" s="16"/>
    </row>
    <row r="52" spans="2:34">
      <c r="B52" s="16"/>
      <c r="C52" s="16"/>
      <c r="D52" s="16"/>
      <c r="E52" s="16"/>
      <c r="F52" s="16"/>
    </row>
    <row r="53" spans="2:34">
      <c r="B53" s="16"/>
      <c r="C53" s="16"/>
      <c r="D53" s="16"/>
      <c r="E53" s="16"/>
      <c r="F53" s="16"/>
    </row>
    <row r="54" spans="2:34">
      <c r="B54" s="16"/>
      <c r="C54" s="16"/>
      <c r="D54" s="16"/>
      <c r="E54" s="16"/>
      <c r="F54" s="16"/>
    </row>
    <row r="56" spans="2:34" ht="71.25" customHeight="1"/>
    <row r="57" spans="2:34" ht="71.25" customHeight="1"/>
    <row r="58" spans="2:34" ht="71.25" customHeight="1"/>
    <row r="59" spans="2:34" ht="71.25" customHeight="1"/>
  </sheetData>
  <mergeCells count="4">
    <mergeCell ref="A1:K1"/>
    <mergeCell ref="C31:C32"/>
    <mergeCell ref="AL5:AN5"/>
    <mergeCell ref="A2:K2"/>
  </mergeCells>
  <conditionalFormatting sqref="B5:G5 B6:C19 E6:G19 D6:D20 B21:G21">
    <cfRule type="cellIs" dxfId="45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499984740745262"/>
    <pageSetUpPr fitToPage="1"/>
  </sheetPr>
  <dimension ref="A1:BD111"/>
  <sheetViews>
    <sheetView showGridLines="0" view="pageBreakPreview" zoomScale="25" zoomScaleNormal="39" zoomScaleSheetLayoutView="25" workbookViewId="0">
      <selection sqref="A1:M1"/>
    </sheetView>
  </sheetViews>
  <sheetFormatPr defaultColWidth="11.42578125" defaultRowHeight="45.75"/>
  <cols>
    <col min="1" max="1" width="19.85546875" style="307" customWidth="1"/>
    <col min="2" max="2" width="43.28515625" style="307" customWidth="1"/>
    <col min="3" max="3" width="58.42578125" style="307" customWidth="1"/>
    <col min="4" max="4" width="58.140625" style="307" customWidth="1"/>
    <col min="5" max="5" width="47.85546875" style="307" customWidth="1"/>
    <col min="6" max="6" width="102.28515625" style="307" customWidth="1"/>
    <col min="7" max="7" width="117.7109375" style="307" customWidth="1"/>
    <col min="8" max="8" width="54" style="307" customWidth="1"/>
    <col min="9" max="9" width="36.140625" style="307" customWidth="1"/>
    <col min="10" max="10" width="55.28515625" style="307" customWidth="1"/>
    <col min="11" max="11" width="42.42578125" style="307" customWidth="1"/>
    <col min="12" max="12" width="37.85546875" style="307" customWidth="1"/>
    <col min="13" max="13" width="24.42578125" style="307" customWidth="1"/>
    <col min="14" max="17" width="42.140625" style="268" customWidth="1"/>
    <col min="18" max="18" width="163" style="1527" customWidth="1"/>
    <col min="19" max="19" width="76.7109375" style="1527" bestFit="1" customWidth="1"/>
    <col min="20" max="21" width="81.85546875" style="1527" bestFit="1" customWidth="1"/>
    <col min="22" max="22" width="40.140625" style="1527" bestFit="1" customWidth="1"/>
    <col min="23" max="23" width="45.28515625" style="1236" customWidth="1"/>
    <col min="24" max="24" width="45.28515625" style="268" customWidth="1"/>
    <col min="25" max="25" width="56.140625" style="268" bestFit="1" customWidth="1"/>
    <col min="26" max="16384" width="11.42578125" style="268"/>
  </cols>
  <sheetData>
    <row r="1" spans="1:23" ht="296.25" customHeight="1">
      <c r="A1" s="2010" t="s">
        <v>224</v>
      </c>
      <c r="B1" s="2010"/>
      <c r="C1" s="2010"/>
      <c r="D1" s="2010"/>
      <c r="E1" s="2010"/>
      <c r="F1" s="2010"/>
      <c r="G1" s="2010"/>
      <c r="H1" s="2010"/>
      <c r="I1" s="2010"/>
      <c r="J1" s="2010"/>
      <c r="K1" s="2010"/>
      <c r="L1" s="2010"/>
      <c r="M1" s="2011"/>
      <c r="R1" s="1527">
        <f>37*2</f>
        <v>74</v>
      </c>
    </row>
    <row r="2" spans="1:23" ht="69.75" customHeight="1">
      <c r="A2" s="317"/>
      <c r="B2" s="317"/>
      <c r="C2" s="317"/>
      <c r="D2" s="317"/>
      <c r="E2" s="317"/>
      <c r="F2" s="317"/>
      <c r="G2" s="317"/>
      <c r="H2" s="317"/>
      <c r="I2" s="317"/>
      <c r="J2" s="317"/>
      <c r="K2" s="317"/>
      <c r="L2" s="317"/>
      <c r="M2" s="317"/>
    </row>
    <row r="5" spans="1:23" ht="116.25" customHeight="1">
      <c r="R5" s="1545" t="s">
        <v>225</v>
      </c>
      <c r="S5" s="1546">
        <f>+'III.1.3.Afil.SFSPob.Nac.'!D22</f>
        <v>0.97238069448558251</v>
      </c>
    </row>
    <row r="6" spans="1:23">
      <c r="R6" s="1545"/>
      <c r="S6" s="1545"/>
    </row>
    <row r="7" spans="1:23">
      <c r="R7" s="1545" t="s">
        <v>226</v>
      </c>
      <c r="S7" s="1545">
        <f>+'III.1.3.Afil.SFSPob.Nac.'!B22</f>
        <v>10564432</v>
      </c>
    </row>
    <row r="8" spans="1:23" ht="60">
      <c r="G8" s="938"/>
      <c r="H8" s="2021" t="s">
        <v>227</v>
      </c>
      <c r="I8" s="2021"/>
      <c r="J8" s="2021"/>
      <c r="K8" s="2021"/>
      <c r="L8" s="2021"/>
      <c r="M8" s="2021"/>
      <c r="R8" s="1545" t="s">
        <v>228</v>
      </c>
      <c r="S8" s="1545">
        <f>+' II.4.Empr x No. de empl'!D14</f>
        <v>2554953</v>
      </c>
    </row>
    <row r="9" spans="1:23" s="887" customFormat="1" ht="47.25" customHeight="1">
      <c r="B9" s="1524"/>
      <c r="C9" s="1524"/>
      <c r="I9"/>
      <c r="R9" s="1547" t="s">
        <v>229</v>
      </c>
      <c r="S9" s="1547"/>
      <c r="T9" s="1528"/>
      <c r="U9" s="1528"/>
      <c r="V9" s="1528"/>
      <c r="W9" s="1237"/>
    </row>
    <row r="10" spans="1:23" ht="63" customHeight="1">
      <c r="A10" s="311"/>
      <c r="B10" s="1524"/>
      <c r="C10" s="1524"/>
      <c r="D10" s="268"/>
      <c r="E10" s="268"/>
      <c r="F10" s="1525"/>
      <c r="G10" s="1525"/>
    </row>
    <row r="11" spans="1:23" ht="98.25" customHeight="1">
      <c r="A11" s="1525"/>
      <c r="B11" s="1525"/>
      <c r="C11" s="1525"/>
      <c r="D11" s="1525"/>
      <c r="E11" s="1525"/>
      <c r="F11" s="1525"/>
      <c r="G11" s="1525"/>
      <c r="H11" s="1525"/>
      <c r="I11" s="1525"/>
      <c r="J11" s="1525"/>
      <c r="K11" s="1525"/>
      <c r="L11" s="1472"/>
      <c r="N11"/>
      <c r="O11"/>
      <c r="P11"/>
      <c r="Q11"/>
    </row>
    <row r="12" spans="1:23" ht="23.25" customHeight="1">
      <c r="B12" s="1524"/>
      <c r="C12" s="1524"/>
      <c r="D12" s="268"/>
      <c r="E12" s="268"/>
      <c r="K12" s="1584"/>
      <c r="R12" s="1593">
        <f>50.3+49.7</f>
        <v>100</v>
      </c>
    </row>
    <row r="13" spans="1:23" ht="50.25" customHeight="1">
      <c r="B13" s="1524"/>
      <c r="C13" s="1524"/>
      <c r="D13" s="268"/>
      <c r="E13" s="268"/>
      <c r="F13" s="310"/>
      <c r="G13" s="310"/>
      <c r="H13" s="310"/>
      <c r="I13" s="310"/>
      <c r="J13" s="1584"/>
      <c r="L13" s="1592"/>
    </row>
    <row r="14" spans="1:23" ht="16.5" customHeight="1">
      <c r="B14" s="1524"/>
      <c r="C14" s="1524"/>
      <c r="D14" s="268"/>
      <c r="E14" s="268"/>
      <c r="F14" s="310"/>
      <c r="G14" s="310"/>
      <c r="H14" s="310"/>
      <c r="I14" s="310"/>
      <c r="J14" s="1584"/>
      <c r="K14" s="1592"/>
      <c r="L14" s="1592"/>
    </row>
    <row r="15" spans="1:23" ht="35.25" customHeight="1">
      <c r="B15" s="1524"/>
      <c r="C15" s="1524"/>
      <c r="D15" s="268"/>
      <c r="E15" s="1525"/>
      <c r="F15" s="1525"/>
      <c r="G15" s="1525"/>
      <c r="H15" s="1525"/>
      <c r="I15" s="1525"/>
      <c r="J15" s="1584"/>
      <c r="K15" s="2022">
        <f>+W30</f>
        <v>0.50256943063227766</v>
      </c>
      <c r="L15" s="2022"/>
    </row>
    <row r="16" spans="1:23" ht="42.75" customHeight="1">
      <c r="B16" s="1524"/>
      <c r="C16" s="1524"/>
      <c r="D16" s="268"/>
      <c r="F16" s="1525"/>
      <c r="G16" s="1525"/>
      <c r="H16" s="1525"/>
      <c r="I16" s="1525"/>
      <c r="J16" s="1584"/>
      <c r="K16" s="2022"/>
      <c r="L16" s="2022"/>
    </row>
    <row r="17" spans="2:26" ht="229.5" customHeight="1">
      <c r="B17" s="1524"/>
      <c r="C17" s="1524"/>
      <c r="D17" s="268"/>
      <c r="E17" s="268"/>
      <c r="G17" s="309"/>
      <c r="H17" s="309"/>
      <c r="J17" s="1582"/>
      <c r="K17" s="1592"/>
      <c r="L17" s="1592"/>
    </row>
    <row r="18" spans="2:26" ht="31.5" customHeight="1">
      <c r="B18" s="1524"/>
      <c r="C18" s="1524"/>
      <c r="D18" s="268"/>
      <c r="E18" s="268"/>
      <c r="G18" s="309"/>
      <c r="H18" s="309"/>
      <c r="J18" s="1582"/>
      <c r="K18" s="1582"/>
    </row>
    <row r="19" spans="2:26" ht="136.5" customHeight="1">
      <c r="B19" s="1288"/>
      <c r="C19" s="1288"/>
      <c r="D19" s="1288"/>
      <c r="E19" s="268"/>
      <c r="G19" s="310"/>
      <c r="H19" s="2024">
        <f>+W29</f>
        <v>0.49743056936772234</v>
      </c>
      <c r="I19" s="2024"/>
      <c r="K19" s="1583"/>
    </row>
    <row r="20" spans="2:26" ht="126" customHeight="1">
      <c r="B20" s="1288"/>
      <c r="C20" s="1288"/>
      <c r="D20" s="1288"/>
      <c r="J20" s="1583"/>
      <c r="K20" s="1583"/>
      <c r="R20" s="1594">
        <f>50.3+49.7</f>
        <v>100</v>
      </c>
    </row>
    <row r="21" spans="2:26" ht="178.5" customHeight="1">
      <c r="B21" s="1288"/>
      <c r="C21" s="1290"/>
      <c r="D21" s="1288"/>
      <c r="J21" s="1526"/>
      <c r="K21" s="1526"/>
    </row>
    <row r="22" spans="2:26" ht="81" customHeight="1">
      <c r="C22" s="314"/>
      <c r="H22" s="2015"/>
      <c r="I22" s="2015"/>
      <c r="J22" s="2015"/>
      <c r="K22" s="2015"/>
      <c r="L22" s="2015"/>
    </row>
    <row r="23" spans="2:26" ht="34.5" customHeight="1">
      <c r="C23" s="314"/>
      <c r="J23" s="314"/>
    </row>
    <row r="24" spans="2:26" s="269" customFormat="1" ht="90" customHeight="1">
      <c r="N24" s="268"/>
      <c r="O24" s="268"/>
      <c r="P24" s="268"/>
      <c r="Q24" s="268"/>
      <c r="R24" s="1527"/>
      <c r="S24" s="1527"/>
      <c r="T24" s="1527"/>
      <c r="U24" s="1527"/>
      <c r="V24" s="1527"/>
      <c r="W24" s="1236"/>
      <c r="X24" s="268"/>
      <c r="Y24" s="268"/>
      <c r="Z24" s="268"/>
    </row>
    <row r="25" spans="2:26" ht="6.75" customHeight="1"/>
    <row r="26" spans="2:26" ht="16.5" customHeight="1">
      <c r="C26" s="314"/>
      <c r="J26" s="314"/>
    </row>
    <row r="27" spans="2:26" ht="46.5">
      <c r="C27" s="313"/>
      <c r="L27" s="313"/>
      <c r="R27" s="2023" t="s">
        <v>230</v>
      </c>
      <c r="S27" s="2023"/>
      <c r="T27" s="2023"/>
      <c r="U27" s="2023"/>
      <c r="V27" s="1529"/>
    </row>
    <row r="28" spans="2:26" ht="45">
      <c r="C28" s="313"/>
      <c r="L28" s="313"/>
      <c r="R28" s="1530" t="s">
        <v>231</v>
      </c>
      <c r="S28" s="1531" t="s">
        <v>232</v>
      </c>
      <c r="T28" s="1531" t="s">
        <v>233</v>
      </c>
      <c r="U28" s="1531" t="s">
        <v>234</v>
      </c>
      <c r="V28" s="1531" t="s">
        <v>235</v>
      </c>
      <c r="W28" s="1531" t="s">
        <v>236</v>
      </c>
      <c r="X28" s="1531" t="s">
        <v>237</v>
      </c>
    </row>
    <row r="29" spans="2:26" ht="60">
      <c r="L29" s="313"/>
      <c r="R29" s="1532" t="s">
        <v>238</v>
      </c>
      <c r="S29" s="1533">
        <f>+S39+S50</f>
        <v>3597939</v>
      </c>
      <c r="T29" s="1533">
        <f>+T39+T50</f>
        <v>1506803</v>
      </c>
      <c r="U29" s="1533">
        <f>+U39</f>
        <v>82266</v>
      </c>
      <c r="V29" s="1533">
        <f>SUM(S29:U29)</f>
        <v>5187008</v>
      </c>
      <c r="W29" s="1544">
        <f>+V29/V31</f>
        <v>0.49743056936772234</v>
      </c>
      <c r="X29" s="1544">
        <v>1</v>
      </c>
    </row>
    <row r="30" spans="2:26" ht="409.6" customHeight="1">
      <c r="R30" s="1532" t="s">
        <v>239</v>
      </c>
      <c r="S30" s="1533">
        <f>+S40+S51</f>
        <v>3398814</v>
      </c>
      <c r="T30" s="1533">
        <f>+T40+T51</f>
        <v>1662505</v>
      </c>
      <c r="U30" s="1533">
        <f>+U40</f>
        <v>179275</v>
      </c>
      <c r="V30" s="1533">
        <f>SUM(S30:U30)</f>
        <v>5240594</v>
      </c>
      <c r="W30" s="1544">
        <f>+V30/V31</f>
        <v>0.50256943063227766</v>
      </c>
      <c r="X30" s="1544">
        <v>1</v>
      </c>
    </row>
    <row r="31" spans="2:26" ht="180" customHeight="1">
      <c r="R31" s="1532" t="s">
        <v>235</v>
      </c>
      <c r="S31" s="1534">
        <f>SUM(S29:S30)</f>
        <v>6996753</v>
      </c>
      <c r="T31" s="1534">
        <f>SUM(T29:T30)</f>
        <v>3169308</v>
      </c>
      <c r="U31" s="1534">
        <f>SUM(U29:U30)</f>
        <v>261541</v>
      </c>
      <c r="V31" s="1534">
        <f>SUM(S31:U31)</f>
        <v>10427602</v>
      </c>
    </row>
    <row r="32" spans="2:26" ht="46.5">
      <c r="R32" s="1529" t="s">
        <v>240</v>
      </c>
      <c r="S32" s="1529"/>
      <c r="T32" s="1529"/>
      <c r="U32" s="1529"/>
      <c r="V32" s="1529"/>
    </row>
    <row r="33" spans="14:26" ht="46.5">
      <c r="R33" s="1529"/>
      <c r="S33" s="1529"/>
      <c r="T33" s="1529"/>
      <c r="U33" s="1529"/>
      <c r="V33" s="1529"/>
    </row>
    <row r="34" spans="14:26" ht="46.5">
      <c r="R34" s="1529"/>
      <c r="S34" s="1529"/>
      <c r="T34" s="1529"/>
      <c r="U34" s="1529"/>
      <c r="V34" s="1529"/>
    </row>
    <row r="35" spans="14:26" ht="46.5">
      <c r="R35"/>
      <c r="S35" s="1529"/>
      <c r="T35" s="1529"/>
      <c r="U35" s="1529"/>
      <c r="V35" s="1529"/>
    </row>
    <row r="36" spans="14:26" ht="46.5">
      <c r="R36" s="1529"/>
      <c r="S36" s="1529"/>
      <c r="T36" s="1529"/>
      <c r="U36" s="1529"/>
      <c r="V36" s="1529"/>
    </row>
    <row r="37" spans="14:26" ht="46.5">
      <c r="R37" s="1577" t="s">
        <v>241</v>
      </c>
      <c r="S37" s="1577"/>
      <c r="T37" s="1577"/>
      <c r="U37" s="1577"/>
      <c r="V37" s="1529"/>
    </row>
    <row r="38" spans="14:26" ht="45">
      <c r="R38" s="1530" t="s">
        <v>231</v>
      </c>
      <c r="S38" s="1531" t="s">
        <v>232</v>
      </c>
      <c r="T38" s="1531" t="s">
        <v>234</v>
      </c>
      <c r="U38" s="1531" t="s">
        <v>242</v>
      </c>
      <c r="V38" s="1531" t="s">
        <v>243</v>
      </c>
    </row>
    <row r="39" spans="14:26" ht="46.5">
      <c r="R39" s="1532" t="s">
        <v>238</v>
      </c>
      <c r="S39" s="1533">
        <v>1207674</v>
      </c>
      <c r="T39" s="1533">
        <v>1033018</v>
      </c>
      <c r="U39" s="1533">
        <v>82266</v>
      </c>
      <c r="V39" s="1535">
        <f>SUM(S39:U39)</f>
        <v>2322958</v>
      </c>
    </row>
    <row r="40" spans="14:26" s="307" customFormat="1" ht="225.75" customHeight="1">
      <c r="N40" s="268"/>
      <c r="O40" s="268"/>
      <c r="P40" s="268"/>
      <c r="Q40" s="268"/>
      <c r="R40" s="1532" t="s">
        <v>239</v>
      </c>
      <c r="S40" s="1533">
        <v>929410</v>
      </c>
      <c r="T40" s="1533">
        <v>1232008</v>
      </c>
      <c r="U40" s="1533">
        <v>179275</v>
      </c>
      <c r="V40" s="1535">
        <f>SUM(S40:U40)</f>
        <v>2340693</v>
      </c>
      <c r="W40" s="1236"/>
      <c r="X40" s="268"/>
      <c r="Y40" s="268"/>
      <c r="Z40" s="268"/>
    </row>
    <row r="41" spans="14:26" s="307" customFormat="1" ht="225.75" customHeight="1">
      <c r="N41" s="268"/>
      <c r="O41" s="268"/>
      <c r="P41" s="268"/>
      <c r="Q41" s="268"/>
      <c r="R41" s="1585"/>
      <c r="S41" s="1586"/>
      <c r="T41" s="1586"/>
      <c r="U41" s="1586"/>
      <c r="V41" s="1535"/>
      <c r="W41" s="1236"/>
      <c r="X41" s="268"/>
      <c r="Y41" s="268"/>
      <c r="Z41" s="268"/>
    </row>
    <row r="42" spans="14:26" s="307" customFormat="1" ht="225.75" customHeight="1">
      <c r="N42" s="268"/>
      <c r="O42" s="268"/>
      <c r="P42" s="268"/>
      <c r="Q42" s="268"/>
      <c r="R42" s="1585"/>
      <c r="S42" s="1586"/>
      <c r="T42" s="1586"/>
      <c r="U42" s="1586"/>
      <c r="V42" s="1535"/>
      <c r="W42" s="1236"/>
      <c r="X42" s="268"/>
      <c r="Y42" s="268"/>
      <c r="Z42" s="268"/>
    </row>
    <row r="43" spans="14:26" s="307" customFormat="1" ht="37.5" customHeight="1">
      <c r="N43" s="268"/>
      <c r="O43" s="268"/>
      <c r="P43" s="268"/>
      <c r="Q43" s="268"/>
      <c r="R43" s="268"/>
      <c r="S43" s="268"/>
      <c r="T43" s="268"/>
      <c r="U43" s="268"/>
      <c r="V43" s="1578">
        <f>SUM(V39:V40)</f>
        <v>4663651</v>
      </c>
      <c r="W43" s="268"/>
      <c r="X43" s="268"/>
      <c r="Y43" s="268"/>
      <c r="Z43" s="268"/>
    </row>
    <row r="44" spans="14:26" ht="16.5">
      <c r="R44" s="268"/>
      <c r="S44" s="268"/>
      <c r="T44" s="268"/>
      <c r="U44" s="268"/>
      <c r="V44" s="268"/>
      <c r="W44" s="268"/>
    </row>
    <row r="45" spans="14:26" ht="46.5">
      <c r="R45" s="1529"/>
      <c r="S45" s="1529"/>
      <c r="T45" s="1529"/>
      <c r="U45" s="1529"/>
      <c r="V45" s="1529"/>
    </row>
    <row r="46" spans="14:26" ht="46.5">
      <c r="R46" s="1529"/>
      <c r="S46" s="1529"/>
      <c r="T46" s="1529"/>
      <c r="U46" s="1529"/>
      <c r="V46" s="1529"/>
    </row>
    <row r="47" spans="14:26" ht="46.5">
      <c r="R47" s="1529"/>
      <c r="S47" s="1529"/>
      <c r="T47" s="1529"/>
      <c r="U47" s="1529"/>
      <c r="V47" s="1529"/>
    </row>
    <row r="48" spans="14:26" ht="46.5">
      <c r="R48" s="2023" t="s">
        <v>244</v>
      </c>
      <c r="S48" s="2023"/>
      <c r="T48" s="2023"/>
      <c r="U48" s="2023"/>
      <c r="V48" s="1529"/>
    </row>
    <row r="49" spans="7:22" ht="46.5">
      <c r="R49" s="1530" t="s">
        <v>231</v>
      </c>
      <c r="S49" s="1531" t="s">
        <v>232</v>
      </c>
      <c r="T49" s="1531" t="s">
        <v>233</v>
      </c>
      <c r="U49" s="1531" t="s">
        <v>235</v>
      </c>
      <c r="V49" s="1529"/>
    </row>
    <row r="50" spans="7:22" ht="46.5">
      <c r="R50" s="1532" t="s">
        <v>238</v>
      </c>
      <c r="S50" s="1533">
        <v>2390265</v>
      </c>
      <c r="T50" s="1533">
        <v>473785</v>
      </c>
      <c r="U50" s="1534">
        <f>SUM(S50:T50)</f>
        <v>2864050</v>
      </c>
      <c r="V50" s="1529"/>
    </row>
    <row r="51" spans="7:22" ht="46.5">
      <c r="R51" s="1532" t="s">
        <v>239</v>
      </c>
      <c r="S51" s="1533">
        <v>2469404</v>
      </c>
      <c r="T51" s="1533">
        <v>430497</v>
      </c>
      <c r="U51" s="1534">
        <f>SUM(S51:T51)</f>
        <v>2899901</v>
      </c>
      <c r="V51" s="1529"/>
    </row>
    <row r="52" spans="7:22" ht="178.5" customHeight="1">
      <c r="R52" s="1532" t="s">
        <v>235</v>
      </c>
      <c r="S52" s="1534">
        <f>SUM(S50:S51)</f>
        <v>4859669</v>
      </c>
      <c r="T52" s="1534">
        <f>SUM(T50:T51)</f>
        <v>904282</v>
      </c>
      <c r="U52" s="1534">
        <f>SUM(S52:T52)</f>
        <v>5763951</v>
      </c>
      <c r="V52" s="1529"/>
    </row>
    <row r="53" spans="7:22" ht="86.25" customHeight="1">
      <c r="R53" s="1529">
        <f>+R44</f>
        <v>0</v>
      </c>
      <c r="S53" s="1529"/>
      <c r="T53" s="1529"/>
      <c r="U53" s="1529"/>
      <c r="V53" s="1529"/>
    </row>
    <row r="57" spans="7:22">
      <c r="S57" s="1579" t="s">
        <v>245</v>
      </c>
      <c r="T57" s="1579" t="s">
        <v>176</v>
      </c>
    </row>
    <row r="58" spans="7:22" ht="60">
      <c r="R58" s="1580" t="s">
        <v>246</v>
      </c>
      <c r="S58" s="1581">
        <f>+W29</f>
        <v>0.49743056936772234</v>
      </c>
      <c r="T58" s="1581">
        <f>+W30</f>
        <v>0.50256943063227766</v>
      </c>
    </row>
    <row r="59" spans="7:22" ht="60">
      <c r="R59" s="1580" t="s">
        <v>237</v>
      </c>
      <c r="S59" s="1581">
        <v>1</v>
      </c>
      <c r="T59" s="1581">
        <v>1</v>
      </c>
    </row>
    <row r="62" spans="7:22" ht="264" customHeight="1">
      <c r="G62" s="2009"/>
      <c r="H62" s="2009"/>
      <c r="I62" s="2009"/>
      <c r="J62" s="2009"/>
      <c r="K62" s="2009"/>
      <c r="L62" s="2009"/>
      <c r="M62" s="2009"/>
    </row>
    <row r="63" spans="7:22">
      <c r="V63" s="268"/>
    </row>
    <row r="65" spans="1:24" ht="49.5">
      <c r="A65" s="1526"/>
      <c r="X65" s="269"/>
    </row>
    <row r="72" spans="1:24" ht="339.75" customHeight="1"/>
    <row r="81" spans="1:56" ht="90.75" customHeight="1">
      <c r="A81" s="268"/>
      <c r="B81" s="268"/>
      <c r="C81" s="268"/>
      <c r="D81" s="268"/>
      <c r="E81" s="268"/>
      <c r="F81" s="268"/>
    </row>
    <row r="83" spans="1:56" ht="30.75" customHeight="1">
      <c r="D83" s="268"/>
      <c r="E83" s="268"/>
      <c r="F83" s="268"/>
      <c r="G83" s="268"/>
      <c r="H83" s="268"/>
      <c r="I83" s="268"/>
      <c r="J83" s="268"/>
      <c r="R83"/>
      <c r="S83" s="1291"/>
      <c r="T83" s="1291"/>
      <c r="U83" s="1291"/>
      <c r="V83" s="1291"/>
      <c r="W83" s="1292"/>
      <c r="X83" s="1296"/>
    </row>
    <row r="84" spans="1:56">
      <c r="R84" s="1291"/>
      <c r="S84" s="1291"/>
      <c r="T84" s="1291"/>
      <c r="U84" s="1291"/>
      <c r="V84" s="1291"/>
      <c r="W84" s="1292"/>
      <c r="X84" s="1296"/>
    </row>
    <row r="85" spans="1:56" s="1291" customFormat="1" ht="126" customHeight="1">
      <c r="A85" s="2009"/>
      <c r="B85" s="2009"/>
      <c r="C85" s="2009"/>
      <c r="D85" s="2009"/>
      <c r="E85" s="2009"/>
      <c r="F85" s="2009"/>
      <c r="G85" s="2009"/>
      <c r="H85" s="2009"/>
      <c r="I85" s="2009"/>
      <c r="J85" s="2009"/>
      <c r="K85" s="2009"/>
      <c r="L85" s="2009"/>
      <c r="M85" s="2009"/>
      <c r="W85" s="1292"/>
      <c r="X85" s="1296"/>
      <c r="AB85"/>
    </row>
    <row r="86" spans="1:56" s="1294" customFormat="1">
      <c r="A86" s="1293"/>
      <c r="B86" s="1293"/>
      <c r="C86" s="1293"/>
      <c r="D86" s="1293"/>
      <c r="E86" s="1293"/>
      <c r="F86" s="1293"/>
      <c r="G86" s="1293"/>
      <c r="H86" s="1293"/>
      <c r="I86" s="1280"/>
      <c r="J86" s="2017"/>
      <c r="K86" s="2017"/>
      <c r="L86" s="2017"/>
      <c r="M86" s="1293"/>
      <c r="R86" s="1291"/>
      <c r="S86" s="1291"/>
      <c r="T86" s="1291"/>
      <c r="U86" s="1291"/>
      <c r="V86" s="1291"/>
      <c r="W86" s="1292"/>
      <c r="X86" s="1296"/>
    </row>
    <row r="87" spans="1:56" s="1296" customFormat="1">
      <c r="A87" s="1288"/>
      <c r="B87" s="1288"/>
      <c r="C87" s="1288"/>
      <c r="D87" s="1288"/>
      <c r="E87" s="1288"/>
      <c r="F87" s="1288"/>
      <c r="G87" s="1288"/>
      <c r="H87" s="1288"/>
      <c r="I87" s="1288"/>
      <c r="J87" s="1288"/>
      <c r="K87" s="1288"/>
      <c r="L87" s="1288"/>
      <c r="M87" s="1288"/>
      <c r="R87" s="1291"/>
      <c r="S87" s="1291"/>
      <c r="T87" s="1291"/>
      <c r="U87" s="1291"/>
      <c r="V87" s="1291"/>
      <c r="W87" s="1292"/>
    </row>
    <row r="88" spans="1:56" s="1296" customFormat="1">
      <c r="A88" s="1288"/>
      <c r="B88" s="1288"/>
      <c r="C88" s="1288"/>
      <c r="D88" s="1288"/>
      <c r="E88" s="1288"/>
      <c r="F88" s="1288"/>
      <c r="G88" s="1288"/>
      <c r="H88" s="1288"/>
      <c r="I88" s="1288"/>
      <c r="J88" s="1288"/>
      <c r="K88" s="1288"/>
      <c r="L88" s="1288"/>
      <c r="M88" s="1288"/>
      <c r="R88" s="1291"/>
      <c r="S88" s="1291"/>
      <c r="T88" s="1291"/>
      <c r="U88" s="1291"/>
      <c r="V88" s="1291"/>
      <c r="W88" s="1292"/>
    </row>
    <row r="89" spans="1:56" s="1296" customFormat="1">
      <c r="A89" s="1288"/>
      <c r="B89" s="1288"/>
      <c r="C89" s="1288"/>
      <c r="D89" s="1288"/>
      <c r="E89" s="1288"/>
      <c r="F89" s="1288"/>
      <c r="G89" s="1288"/>
      <c r="H89" s="1288"/>
      <c r="I89" s="1288"/>
      <c r="J89" s="1288"/>
      <c r="K89" s="1288"/>
      <c r="L89" s="1288"/>
      <c r="M89" s="1288"/>
      <c r="R89" s="1291"/>
      <c r="S89" s="1291"/>
      <c r="T89" s="1291"/>
      <c r="U89" s="1291"/>
      <c r="V89" s="1291"/>
      <c r="W89" s="1292"/>
    </row>
    <row r="90" spans="1:56" s="1296" customFormat="1">
      <c r="A90" s="1288"/>
      <c r="B90" s="1288"/>
      <c r="C90" s="1288"/>
      <c r="D90" s="1288"/>
      <c r="E90" s="1288"/>
      <c r="F90" s="1288"/>
      <c r="G90" s="1288"/>
      <c r="H90" s="1288"/>
      <c r="I90" s="1288"/>
      <c r="J90" s="1288"/>
      <c r="K90" s="1288"/>
      <c r="L90" s="1288"/>
      <c r="M90" s="1288"/>
      <c r="R90" s="1291"/>
      <c r="S90" s="1291"/>
      <c r="T90" s="1291"/>
      <c r="U90" s="1291"/>
      <c r="V90" s="1291"/>
      <c r="W90" s="1292"/>
    </row>
    <row r="91" spans="1:56" s="1296" customFormat="1">
      <c r="A91" s="1288"/>
      <c r="B91" s="1288"/>
      <c r="C91" s="1288"/>
      <c r="D91" s="1288"/>
      <c r="E91" s="1288"/>
      <c r="F91" s="1288"/>
      <c r="G91" s="1288"/>
      <c r="H91" s="1288"/>
      <c r="I91" s="1288"/>
      <c r="J91" s="1288"/>
      <c r="K91" s="1288"/>
      <c r="L91" s="1288"/>
      <c r="M91" s="1288"/>
      <c r="R91" s="1291"/>
      <c r="S91" s="1291"/>
      <c r="T91" s="1291"/>
      <c r="U91" s="1291"/>
      <c r="V91" s="1291"/>
      <c r="W91" s="1292"/>
      <c r="BA91" s="1527"/>
      <c r="BB91" s="1527"/>
      <c r="BC91" s="1527"/>
      <c r="BD91" s="1527"/>
    </row>
    <row r="92" spans="1:56" s="1296" customFormat="1" ht="60">
      <c r="A92" s="1288"/>
      <c r="B92" s="1288"/>
      <c r="C92" s="1288"/>
      <c r="D92" s="1288"/>
      <c r="E92" s="1288"/>
      <c r="F92" s="1288"/>
      <c r="G92" s="1288"/>
      <c r="H92" s="1288"/>
      <c r="I92" s="1288"/>
      <c r="J92" s="1288"/>
      <c r="K92" s="1288"/>
      <c r="L92" s="1288"/>
      <c r="M92" s="1288"/>
      <c r="R92" s="1550" t="s">
        <v>247</v>
      </c>
      <c r="S92" s="1551">
        <v>17322</v>
      </c>
      <c r="T92" s="1291"/>
      <c r="U92" s="1291"/>
      <c r="V92" s="1291"/>
      <c r="W92" s="1292"/>
      <c r="BA92" s="1527"/>
      <c r="BB92" s="1527"/>
      <c r="BC92" s="1527"/>
      <c r="BD92" s="1527"/>
    </row>
    <row r="93" spans="1:56" s="1296" customFormat="1" ht="207.75" customHeight="1" thickBot="1">
      <c r="A93" s="1288"/>
      <c r="B93" s="1288"/>
      <c r="C93" s="1288"/>
      <c r="D93" s="1288"/>
      <c r="E93" s="1288"/>
      <c r="F93" s="1288"/>
      <c r="G93" s="1288"/>
      <c r="H93" s="1288"/>
      <c r="I93" s="1288"/>
      <c r="J93" s="1288"/>
      <c r="K93" s="1288"/>
      <c r="L93" s="1288"/>
      <c r="M93" s="1288"/>
      <c r="N93" s="1548"/>
      <c r="O93" s="1548"/>
      <c r="P93" s="1548"/>
      <c r="Q93" s="1548"/>
      <c r="R93" s="1550" t="s">
        <v>248</v>
      </c>
      <c r="S93" s="1551">
        <v>15200</v>
      </c>
      <c r="T93" s="1291"/>
      <c r="U93" s="1291"/>
      <c r="V93" s="1291"/>
      <c r="W93" s="1292"/>
      <c r="BA93" s="1527"/>
      <c r="BB93" s="1527"/>
      <c r="BC93" s="1527"/>
      <c r="BD93" s="1527"/>
    </row>
    <row r="94" spans="1:56" s="1296" customFormat="1" ht="409.6" thickTop="1" thickBot="1">
      <c r="A94" s="1288"/>
      <c r="B94" s="1288"/>
      <c r="C94" s="1288"/>
      <c r="D94" s="1288"/>
      <c r="E94" s="1288"/>
      <c r="F94" s="1288"/>
      <c r="G94" s="1288"/>
      <c r="H94" s="1288"/>
      <c r="I94" s="1288"/>
      <c r="J94" s="1288"/>
      <c r="K94" s="1288"/>
      <c r="L94" s="1288"/>
      <c r="M94" s="1288"/>
      <c r="N94" s="1548"/>
      <c r="O94" s="1548"/>
      <c r="P94" s="1548"/>
      <c r="Q94" s="1548"/>
      <c r="R94" s="1550" t="s">
        <v>249</v>
      </c>
      <c r="S94" s="1551">
        <v>69</v>
      </c>
      <c r="T94" s="1291"/>
      <c r="U94" s="1291"/>
      <c r="V94" s="1291"/>
      <c r="W94" s="1292"/>
      <c r="BA94" s="1527"/>
      <c r="BB94" s="1540" t="s">
        <v>214</v>
      </c>
      <c r="BC94" s="1541">
        <f>+BD94/1000000</f>
        <v>89.639951530000005</v>
      </c>
      <c r="BD94" s="1542">
        <v>89639951.530000001</v>
      </c>
    </row>
    <row r="95" spans="1:56" s="1296" customFormat="1" ht="61.5" thickTop="1" thickBot="1">
      <c r="A95" s="1288"/>
      <c r="B95" s="1288"/>
      <c r="C95" s="1288"/>
      <c r="D95" s="1288"/>
      <c r="E95" s="1288"/>
      <c r="F95" s="1288"/>
      <c r="G95" s="1288"/>
      <c r="H95" s="1288"/>
      <c r="I95" s="1288"/>
      <c r="J95" s="1288"/>
      <c r="K95" s="1288"/>
      <c r="L95" s="1288"/>
      <c r="M95" s="1288"/>
      <c r="N95" s="1548"/>
      <c r="O95" s="1548"/>
      <c r="P95" s="1548"/>
      <c r="Q95" s="1548"/>
      <c r="R95" s="1587"/>
      <c r="S95" s="1291"/>
      <c r="T95" s="1291"/>
      <c r="U95" s="1291"/>
      <c r="V95" s="1291"/>
      <c r="W95" s="1292"/>
      <c r="BA95" s="1527"/>
      <c r="BB95" s="1540"/>
      <c r="BC95" s="1541"/>
      <c r="BD95" s="1542"/>
    </row>
    <row r="96" spans="1:56" s="1296" customFormat="1" ht="61.5" thickTop="1" thickBot="1">
      <c r="A96" s="1288"/>
      <c r="B96" s="1288"/>
      <c r="C96" s="1288"/>
      <c r="D96" s="1288"/>
      <c r="E96" s="1288"/>
      <c r="F96" s="1288"/>
      <c r="G96" s="1288"/>
      <c r="H96" s="1288"/>
      <c r="I96" s="1288"/>
      <c r="J96" s="1288"/>
      <c r="K96" s="1288"/>
      <c r="L96" s="1288"/>
      <c r="M96" s="1288"/>
      <c r="N96" s="1548"/>
      <c r="O96" s="1548"/>
      <c r="P96" s="1548"/>
      <c r="Q96" s="1548"/>
      <c r="R96" s="1587"/>
      <c r="S96" s="1291"/>
      <c r="T96" s="1291"/>
      <c r="U96" s="1291"/>
      <c r="V96" s="1291"/>
      <c r="W96" s="1292"/>
      <c r="BA96" s="1527"/>
      <c r="BB96" s="1540"/>
      <c r="BC96" s="1541"/>
      <c r="BD96" s="1542"/>
    </row>
    <row r="97" spans="1:56" s="1296" customFormat="1" ht="61.5" thickTop="1" thickBot="1">
      <c r="A97" s="1288"/>
      <c r="B97" s="1288"/>
      <c r="C97" s="1288"/>
      <c r="D97" s="1288"/>
      <c r="E97" s="1288"/>
      <c r="F97" s="1288"/>
      <c r="G97" s="1288"/>
      <c r="H97" s="1288"/>
      <c r="I97" s="1288"/>
      <c r="J97" s="1288"/>
      <c r="K97" s="1288"/>
      <c r="L97" s="1288"/>
      <c r="M97" s="1288"/>
      <c r="N97" s="1548"/>
      <c r="O97" s="1548"/>
      <c r="P97" s="1548"/>
      <c r="Q97" s="1548"/>
      <c r="R97" s="1587"/>
      <c r="S97" s="1291"/>
      <c r="T97" s="1291"/>
      <c r="U97" s="1291"/>
      <c r="V97" s="1291"/>
      <c r="W97" s="1292"/>
      <c r="BA97" s="1527"/>
      <c r="BB97" s="1540"/>
      <c r="BC97" s="1541"/>
      <c r="BD97" s="1542"/>
    </row>
    <row r="98" spans="1:56" s="1296" customFormat="1" ht="61.5" thickTop="1" thickBot="1">
      <c r="A98" s="1288"/>
      <c r="B98" s="1288"/>
      <c r="C98" s="1288"/>
      <c r="D98" s="1288"/>
      <c r="E98" s="1288"/>
      <c r="F98" s="1288"/>
      <c r="G98" s="1288"/>
      <c r="H98" s="1288"/>
      <c r="I98" s="1288"/>
      <c r="J98" s="1288"/>
      <c r="K98" s="1288"/>
      <c r="L98" s="1288"/>
      <c r="M98" s="1288"/>
      <c r="N98" s="1548"/>
      <c r="O98" s="1548"/>
      <c r="P98" s="1548"/>
      <c r="Q98" s="1548"/>
      <c r="R98" s="1587"/>
      <c r="S98" s="1291"/>
      <c r="T98" s="1291"/>
      <c r="U98" s="1291"/>
      <c r="V98" s="1291"/>
      <c r="W98" s="1292"/>
      <c r="BA98" s="1527"/>
      <c r="BB98" s="1540"/>
      <c r="BC98" s="1541"/>
      <c r="BD98" s="1542"/>
    </row>
    <row r="99" spans="1:56" s="1296" customFormat="1" ht="61.5" thickTop="1" thickBot="1">
      <c r="A99" s="1288"/>
      <c r="B99" s="1288"/>
      <c r="C99" s="1288"/>
      <c r="D99" s="1288"/>
      <c r="E99" s="1288"/>
      <c r="F99" s="1288"/>
      <c r="G99" s="1288"/>
      <c r="H99" s="1288"/>
      <c r="I99" s="1288"/>
      <c r="J99" s="1288"/>
      <c r="K99" s="1288"/>
      <c r="L99" s="1288"/>
      <c r="M99" s="1288"/>
      <c r="N99" s="1548"/>
      <c r="O99" s="1548"/>
      <c r="P99" s="1548"/>
      <c r="Q99" s="1548"/>
      <c r="R99" s="1587"/>
      <c r="S99" s="1291"/>
      <c r="T99" s="1291"/>
      <c r="U99" s="1291"/>
      <c r="V99" s="1291"/>
      <c r="W99" s="1292"/>
      <c r="BA99" s="1527"/>
      <c r="BB99" s="1540"/>
      <c r="BC99" s="1541"/>
      <c r="BD99" s="1542"/>
    </row>
    <row r="100" spans="1:56" s="1296" customFormat="1" ht="61.5" thickTop="1" thickBot="1">
      <c r="A100" s="1288"/>
      <c r="B100" s="1288"/>
      <c r="C100" s="1288"/>
      <c r="D100" s="1288"/>
      <c r="E100" s="1288"/>
      <c r="F100" s="1288"/>
      <c r="G100" s="1288"/>
      <c r="H100" s="1288"/>
      <c r="I100" s="1288"/>
      <c r="J100" s="1288"/>
      <c r="K100" s="1288"/>
      <c r="L100" s="1288"/>
      <c r="M100" s="1288"/>
      <c r="N100" s="1548"/>
      <c r="O100" s="1548"/>
      <c r="P100" s="1548"/>
      <c r="Q100" s="1548"/>
      <c r="R100" s="1587"/>
      <c r="S100" s="1291"/>
      <c r="T100" s="1291"/>
      <c r="U100" s="1291"/>
      <c r="V100" s="1291"/>
      <c r="W100" s="1292"/>
      <c r="BA100" s="1527"/>
      <c r="BB100" s="1540"/>
      <c r="BC100" s="1541"/>
      <c r="BD100" s="1542"/>
    </row>
    <row r="101" spans="1:56" s="1296" customFormat="1" ht="409.6" thickTop="1" thickBot="1">
      <c r="A101" s="1288"/>
      <c r="B101" s="1288"/>
      <c r="C101" s="1288"/>
      <c r="D101" s="1288"/>
      <c r="E101" s="1288"/>
      <c r="F101" s="1288"/>
      <c r="G101" s="1288"/>
      <c r="H101" s="1288"/>
      <c r="I101" s="1288"/>
      <c r="J101" s="1288"/>
      <c r="K101" s="1288"/>
      <c r="L101" s="1288"/>
      <c r="M101" s="1288"/>
      <c r="R101" s="1549"/>
      <c r="S101" s="1291"/>
      <c r="T101" s="1291"/>
      <c r="U101" s="1291"/>
      <c r="V101" s="1291"/>
      <c r="W101" s="1292"/>
      <c r="BA101" s="1527"/>
      <c r="BB101" s="1540" t="s">
        <v>215</v>
      </c>
      <c r="BC101" s="1541">
        <f>+BD101/1000000</f>
        <v>47523.075413729995</v>
      </c>
      <c r="BD101" s="1542">
        <v>47523075413.729996</v>
      </c>
    </row>
    <row r="102" spans="1:56" s="1296" customFormat="1" ht="409.6" thickTop="1" thickBot="1">
      <c r="A102" s="1288"/>
      <c r="B102" s="1288"/>
      <c r="C102" s="1288"/>
      <c r="D102" s="1288"/>
      <c r="E102" s="1288"/>
      <c r="F102" s="1288"/>
      <c r="G102" s="1288"/>
      <c r="H102" s="1288"/>
      <c r="I102" s="1288"/>
      <c r="J102" s="1288"/>
      <c r="K102" s="1288"/>
      <c r="L102" s="1288"/>
      <c r="M102" s="1288"/>
      <c r="R102" s="1527"/>
      <c r="S102" s="1527"/>
      <c r="T102" s="1527"/>
      <c r="U102" s="1527"/>
      <c r="V102" s="1527"/>
      <c r="W102" s="1236"/>
      <c r="X102" s="268"/>
      <c r="BA102" s="1527"/>
      <c r="BB102" s="1540" t="s">
        <v>216</v>
      </c>
      <c r="BC102" s="1541">
        <f>+BD102/1000000</f>
        <v>70397.902073009987</v>
      </c>
      <c r="BD102" s="1543">
        <v>70397902073.009995</v>
      </c>
    </row>
    <row r="103" spans="1:56" s="1296" customFormat="1" ht="304.5" customHeight="1" thickTop="1" thickBot="1">
      <c r="A103" s="1288"/>
      <c r="B103" s="1288"/>
      <c r="C103" s="1288"/>
      <c r="D103" s="1288"/>
      <c r="E103" s="1288"/>
      <c r="F103" s="1288"/>
      <c r="G103" s="1288"/>
      <c r="H103" s="1288"/>
      <c r="I103" s="1288"/>
      <c r="J103" s="1288"/>
      <c r="K103" s="1288"/>
      <c r="L103" s="1288"/>
      <c r="M103" s="1288"/>
      <c r="R103" s="1527"/>
      <c r="S103" s="1527"/>
      <c r="T103" s="1527"/>
      <c r="U103" s="1527"/>
      <c r="V103" s="1527"/>
      <c r="W103" s="1236"/>
      <c r="X103" s="268"/>
      <c r="BA103" s="1527"/>
      <c r="BB103" s="1540" t="s">
        <v>217</v>
      </c>
      <c r="BC103" s="1541">
        <f>+BD103/1000000</f>
        <v>133045.07545388001</v>
      </c>
      <c r="BD103" s="1542">
        <v>133045075453.88</v>
      </c>
    </row>
    <row r="104" spans="1:56" s="1296" customFormat="1" ht="47.25" thickTop="1">
      <c r="A104" s="1288"/>
      <c r="B104" s="1288"/>
      <c r="C104" s="1288"/>
      <c r="D104" s="1288"/>
      <c r="E104" s="1288"/>
      <c r="F104" s="1288"/>
      <c r="G104" s="1288"/>
      <c r="H104" s="1288"/>
      <c r="I104" s="1288"/>
      <c r="J104" s="1288"/>
      <c r="K104" s="1288"/>
      <c r="L104" s="1288"/>
      <c r="M104" s="1288"/>
      <c r="R104" s="1536" t="s">
        <v>196</v>
      </c>
      <c r="S104" s="1537" t="s">
        <v>197</v>
      </c>
      <c r="T104" s="1537" t="s">
        <v>198</v>
      </c>
      <c r="U104" s="1537" t="s">
        <v>199</v>
      </c>
      <c r="V104" s="320" t="s">
        <v>200</v>
      </c>
      <c r="W104" s="1236"/>
      <c r="X104" s="268"/>
      <c r="BA104" s="1527"/>
      <c r="BB104" s="1527"/>
      <c r="BC104" s="1527"/>
      <c r="BD104" s="1527"/>
    </row>
    <row r="105" spans="1:56" s="1296" customFormat="1" ht="46.5">
      <c r="A105" s="1288"/>
      <c r="B105" s="1288"/>
      <c r="C105" s="1288"/>
      <c r="D105" s="1288"/>
      <c r="E105" s="1288"/>
      <c r="F105" s="1288"/>
      <c r="G105" s="1288"/>
      <c r="H105" s="1288"/>
      <c r="I105" s="1288"/>
      <c r="J105" s="1288"/>
      <c r="K105" s="1288"/>
      <c r="L105" s="1288"/>
      <c r="M105" s="1288"/>
      <c r="R105" s="1538" t="s">
        <v>201</v>
      </c>
      <c r="S105" s="1539">
        <v>40909</v>
      </c>
      <c r="T105" s="1539">
        <v>41639</v>
      </c>
      <c r="U105" s="1539" t="s">
        <v>202</v>
      </c>
      <c r="V105" s="323">
        <v>181.34</v>
      </c>
      <c r="W105" s="1236"/>
      <c r="X105" s="268"/>
      <c r="BA105" s="520"/>
      <c r="BB105" s="520"/>
      <c r="BC105" s="520"/>
      <c r="BD105" s="520"/>
    </row>
    <row r="106" spans="1:56" s="1296" customFormat="1" ht="46.5">
      <c r="A106" s="1288"/>
      <c r="B106" s="1288"/>
      <c r="C106" s="1288"/>
      <c r="D106" s="1288"/>
      <c r="E106" s="1288"/>
      <c r="F106" s="1288"/>
      <c r="G106" s="1288"/>
      <c r="H106" s="1288"/>
      <c r="I106" s="1288"/>
      <c r="J106" s="1288"/>
      <c r="K106" s="1288"/>
      <c r="L106" s="1288"/>
      <c r="M106" s="1288"/>
      <c r="R106" s="1538" t="s">
        <v>203</v>
      </c>
      <c r="S106" s="1539">
        <v>41640</v>
      </c>
      <c r="T106" s="1539">
        <v>42735</v>
      </c>
      <c r="U106" s="1539" t="s">
        <v>204</v>
      </c>
      <c r="V106" s="323">
        <v>201.34</v>
      </c>
      <c r="W106" s="1236"/>
      <c r="X106" s="268"/>
    </row>
    <row r="107" spans="1:56" s="1296" customFormat="1" ht="46.5">
      <c r="A107" s="1288"/>
      <c r="B107" s="1288"/>
      <c r="C107" s="1288"/>
      <c r="D107" s="1288"/>
      <c r="E107" s="1288"/>
      <c r="F107" s="1288"/>
      <c r="G107" s="1288"/>
      <c r="H107" s="1288"/>
      <c r="I107" s="1288"/>
      <c r="J107" s="1288"/>
      <c r="K107" s="1288"/>
      <c r="L107" s="1288"/>
      <c r="M107" s="1288"/>
      <c r="R107" s="1538" t="s">
        <v>205</v>
      </c>
      <c r="S107" s="1539">
        <v>42736</v>
      </c>
      <c r="T107" s="1539">
        <v>43131</v>
      </c>
      <c r="U107" s="1539" t="s">
        <v>206</v>
      </c>
      <c r="V107" s="323">
        <v>216.38</v>
      </c>
      <c r="W107" s="1236"/>
      <c r="X107" s="268"/>
    </row>
    <row r="108" spans="1:56" s="1296" customFormat="1" ht="46.5">
      <c r="A108" s="1288"/>
      <c r="B108" s="1288"/>
      <c r="C108" s="1288"/>
      <c r="D108" s="1288"/>
      <c r="E108" s="1288"/>
      <c r="F108" s="1288"/>
      <c r="G108" s="1288"/>
      <c r="H108" s="1288"/>
      <c r="I108" s="1288"/>
      <c r="J108" s="1288"/>
      <c r="K108" s="1288"/>
      <c r="L108" s="1288"/>
      <c r="M108" s="1288"/>
      <c r="R108" s="1538" t="s">
        <v>207</v>
      </c>
      <c r="S108" s="1539">
        <v>43132</v>
      </c>
      <c r="T108" s="1539">
        <v>43921</v>
      </c>
      <c r="U108" s="1539" t="s">
        <v>208</v>
      </c>
      <c r="V108" s="323">
        <v>220.38</v>
      </c>
      <c r="W108" s="1236"/>
      <c r="X108" s="268"/>
    </row>
    <row r="109" spans="1:56" s="1296" customFormat="1" ht="98.25" customHeight="1">
      <c r="A109" s="1288"/>
      <c r="B109" s="1288"/>
      <c r="C109" s="1288"/>
      <c r="D109" s="1288"/>
      <c r="E109" s="1288"/>
      <c r="F109" s="1288"/>
      <c r="G109" s="1288"/>
      <c r="H109" s="1288"/>
      <c r="I109" s="1288"/>
      <c r="J109" s="1288"/>
      <c r="K109" s="1288"/>
      <c r="L109" s="1288"/>
      <c r="M109" s="1288"/>
      <c r="R109" s="1538" t="s">
        <v>209</v>
      </c>
      <c r="S109" s="1539">
        <v>43922</v>
      </c>
      <c r="T109" s="1539">
        <v>44561</v>
      </c>
      <c r="U109" s="1539" t="s">
        <v>210</v>
      </c>
      <c r="V109" s="323">
        <v>237.38</v>
      </c>
      <c r="W109" s="1236"/>
      <c r="X109" s="268"/>
    </row>
    <row r="110" spans="1:56" s="1296" customFormat="1" ht="46.5">
      <c r="A110" s="1288"/>
      <c r="B110" s="1288"/>
      <c r="C110" s="1288"/>
      <c r="D110" s="1288"/>
      <c r="E110" s="1288"/>
      <c r="F110" s="1288"/>
      <c r="G110" s="1288"/>
      <c r="H110" s="1288"/>
      <c r="I110" s="1288"/>
      <c r="J110" s="1288"/>
      <c r="K110" s="1288"/>
      <c r="L110" s="1288"/>
      <c r="M110" s="1288"/>
      <c r="R110" s="1538" t="s">
        <v>211</v>
      </c>
      <c r="S110" s="1539">
        <v>44562</v>
      </c>
      <c r="T110" s="1539" t="s">
        <v>212</v>
      </c>
      <c r="U110" s="1539" t="s">
        <v>213</v>
      </c>
      <c r="V110" s="323">
        <v>259.43</v>
      </c>
      <c r="W110" s="1236"/>
      <c r="X110" s="268"/>
    </row>
    <row r="111" spans="1:56" s="1296" customFormat="1" ht="46.5">
      <c r="A111" s="1288"/>
      <c r="B111" s="1288"/>
      <c r="C111" s="1288"/>
      <c r="D111" s="1288"/>
      <c r="E111" s="1288"/>
      <c r="F111" s="1288"/>
      <c r="G111" s="1288"/>
      <c r="H111" s="1288"/>
      <c r="I111" s="1288"/>
      <c r="J111" s="1288"/>
      <c r="K111" s="1288"/>
      <c r="L111" s="1288"/>
      <c r="M111" s="1288"/>
      <c r="R111" s="1588"/>
      <c r="S111" s="1589"/>
      <c r="T111" s="1589"/>
      <c r="U111" s="1589"/>
      <c r="V111" s="1590"/>
      <c r="W111" s="1236"/>
      <c r="X111" s="268"/>
    </row>
  </sheetData>
  <mergeCells count="11">
    <mergeCell ref="R27:U27"/>
    <mergeCell ref="R48:U48"/>
    <mergeCell ref="A85:G85"/>
    <mergeCell ref="H85:M85"/>
    <mergeCell ref="H19:I19"/>
    <mergeCell ref="H8:M8"/>
    <mergeCell ref="J86:L86"/>
    <mergeCell ref="G62:M62"/>
    <mergeCell ref="A1:M1"/>
    <mergeCell ref="H22:L22"/>
    <mergeCell ref="K15:L16"/>
  </mergeCells>
  <pageMargins left="0.70866141732283472" right="0.70866141732283472" top="0.74803149606299213" bottom="0.74803149606299213" header="0.31496062992125984" footer="0.31496062992125984"/>
  <pageSetup scale="17" fitToHeight="0" orientation="landscape" r:id="rId1"/>
  <rowBreaks count="2" manualBreakCount="2">
    <brk id="39" max="12" man="1"/>
    <brk id="79" max="1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3">
    <tabColor theme="0" tint="-0.249977111117893"/>
    <pageSetUpPr fitToPage="1"/>
  </sheetPr>
  <dimension ref="A1:R41"/>
  <sheetViews>
    <sheetView showGridLines="0" view="pageBreakPreview" topLeftCell="A4" zoomScale="40" zoomScaleNormal="100" zoomScaleSheetLayoutView="40" workbookViewId="0">
      <selection activeCell="C22" sqref="C22"/>
    </sheetView>
  </sheetViews>
  <sheetFormatPr defaultColWidth="11.42578125" defaultRowHeight="14.25"/>
  <cols>
    <col min="1" max="1" width="49.140625" style="307" customWidth="1"/>
    <col min="2" max="2" width="33.7109375" style="307" customWidth="1"/>
    <col min="3" max="3" width="43.7109375" style="307" customWidth="1"/>
    <col min="4" max="4" width="55.85546875" style="307" customWidth="1"/>
    <col min="5" max="5" width="42.42578125" style="307" customWidth="1"/>
    <col min="6" max="13" width="14.28515625" style="307" customWidth="1"/>
    <col min="14" max="14" width="14.42578125" style="307" customWidth="1"/>
    <col min="15" max="15" width="14.28515625" style="307" customWidth="1"/>
    <col min="16" max="16" width="13.85546875" style="307" customWidth="1"/>
    <col min="17" max="16384" width="11.42578125" style="307"/>
  </cols>
  <sheetData>
    <row r="1" spans="1:18" s="541" customFormat="1" ht="78" customHeight="1">
      <c r="A1" s="2163" t="s">
        <v>747</v>
      </c>
      <c r="B1" s="2163"/>
      <c r="C1" s="2163"/>
      <c r="D1" s="2163"/>
      <c r="E1" s="2163"/>
      <c r="F1" s="2163"/>
      <c r="G1" s="2163"/>
      <c r="H1" s="2163"/>
      <c r="I1" s="2163"/>
      <c r="J1" s="2163"/>
      <c r="K1" s="2163"/>
      <c r="L1" s="2163"/>
      <c r="M1" s="2163"/>
    </row>
    <row r="2" spans="1:18" s="541" customFormat="1" ht="39" customHeight="1">
      <c r="A2" s="2118" t="str">
        <f>+'Resumen '!O4</f>
        <v>Período:  Diciembre 2008 - Abril 2025</v>
      </c>
      <c r="B2" s="2118"/>
      <c r="C2" s="2118"/>
      <c r="D2" s="2118"/>
      <c r="E2" s="2118"/>
      <c r="F2" s="2118"/>
      <c r="G2" s="2118"/>
      <c r="H2" s="2118"/>
      <c r="I2" s="2118"/>
      <c r="J2" s="2118"/>
      <c r="K2" s="2118"/>
      <c r="L2" s="2118"/>
      <c r="M2" s="2118"/>
    </row>
    <row r="3" spans="1:18" ht="10.5" customHeight="1">
      <c r="A3" s="2217"/>
      <c r="B3" s="2217"/>
      <c r="C3" s="2217"/>
      <c r="D3" s="2217"/>
      <c r="E3" s="2217"/>
      <c r="F3" s="2217"/>
      <c r="G3" s="2217"/>
      <c r="H3" s="2217"/>
      <c r="I3" s="2217"/>
      <c r="J3" s="2217"/>
      <c r="K3" s="2217"/>
      <c r="L3" s="2217"/>
      <c r="M3" s="2217"/>
    </row>
    <row r="4" spans="1:18" ht="83.25" customHeight="1">
      <c r="A4" s="823" t="s">
        <v>371</v>
      </c>
      <c r="B4" s="708" t="s">
        <v>748</v>
      </c>
      <c r="C4" s="708" t="s">
        <v>749</v>
      </c>
      <c r="D4" s="708" t="s">
        <v>750</v>
      </c>
      <c r="E4" s="935" t="s">
        <v>751</v>
      </c>
      <c r="N4" s="371"/>
      <c r="O4" s="371"/>
      <c r="P4" s="371"/>
      <c r="Q4" s="371"/>
      <c r="R4" s="371"/>
    </row>
    <row r="5" spans="1:18" ht="27" customHeight="1">
      <c r="A5" s="709" t="s">
        <v>460</v>
      </c>
      <c r="B5" s="824">
        <v>992746</v>
      </c>
      <c r="C5" s="824">
        <f>+'V.4.2.NA. Reportes ARL'!D6</f>
        <v>10977</v>
      </c>
      <c r="D5" s="825">
        <f>+(Tabla23[[#This Row],[Total Casos de Accid. Laborales y Enf. Prof.]]/Tabla23[[#This Row],[Afiliación al SRL]])*100000</f>
        <v>1105.7208994042787</v>
      </c>
      <c r="E5" s="1775">
        <f>C5/B5</f>
        <v>1.1057208994042786E-2</v>
      </c>
      <c r="N5" s="371"/>
      <c r="O5" s="371"/>
      <c r="P5" s="371"/>
      <c r="Q5" s="371"/>
      <c r="R5" s="371"/>
    </row>
    <row r="6" spans="1:18" ht="27" customHeight="1">
      <c r="A6" s="709" t="s">
        <v>461</v>
      </c>
      <c r="B6" s="824">
        <v>1084705</v>
      </c>
      <c r="C6" s="824">
        <f>+'V.4.2.NA. Reportes ARL'!D7</f>
        <v>14683</v>
      </c>
      <c r="D6" s="825">
        <f>+(Tabla23[[#This Row],[Total Casos de Accid. Laborales y Enf. Prof.]]/Tabla23[[#This Row],[Afiliación al SRL]])*100000</f>
        <v>1353.6399297504852</v>
      </c>
      <c r="E6" s="1775">
        <f t="shared" ref="E6:E22" si="0">C6/B6</f>
        <v>1.3536399297504852E-2</v>
      </c>
      <c r="N6" s="371"/>
      <c r="O6" s="371"/>
      <c r="P6" s="371"/>
      <c r="Q6" s="371"/>
      <c r="R6" s="371"/>
    </row>
    <row r="7" spans="1:18" ht="27" customHeight="1">
      <c r="A7" s="709" t="s">
        <v>462</v>
      </c>
      <c r="B7" s="824">
        <v>1183463</v>
      </c>
      <c r="C7" s="824">
        <f>+'V.4.2.NA. Reportes ARL'!D8</f>
        <v>17456</v>
      </c>
      <c r="D7" s="825">
        <f>+(Tabla23[[#This Row],[Total Casos de Accid. Laborales y Enf. Prof.]]/Tabla23[[#This Row],[Afiliación al SRL]])*100000</f>
        <v>1474.9933035506815</v>
      </c>
      <c r="E7" s="1775">
        <f t="shared" si="0"/>
        <v>1.4749933035506814E-2</v>
      </c>
      <c r="N7" s="371"/>
      <c r="O7" s="371"/>
      <c r="P7" s="371"/>
      <c r="Q7" s="371"/>
      <c r="R7" s="371"/>
    </row>
    <row r="8" spans="1:18" ht="27" customHeight="1">
      <c r="A8" s="709" t="s">
        <v>463</v>
      </c>
      <c r="B8" s="824">
        <v>1367790</v>
      </c>
      <c r="C8" s="824">
        <f>+'V.4.2.NA. Reportes ARL'!D9</f>
        <v>22597</v>
      </c>
      <c r="D8" s="825">
        <f>+(Tabla23[[#This Row],[Total Casos de Accid. Laborales y Enf. Prof.]]/Tabla23[[#This Row],[Afiliación al SRL]])*100000</f>
        <v>1652.0810943200345</v>
      </c>
      <c r="E8" s="1775">
        <f t="shared" si="0"/>
        <v>1.6520810943200345E-2</v>
      </c>
      <c r="N8" s="371"/>
      <c r="O8" s="371"/>
      <c r="P8" s="371"/>
      <c r="Q8" s="371"/>
      <c r="R8" s="371"/>
    </row>
    <row r="9" spans="1:18" ht="27" customHeight="1">
      <c r="A9" s="709" t="s">
        <v>464</v>
      </c>
      <c r="B9" s="824">
        <v>1430273</v>
      </c>
      <c r="C9" s="824">
        <f>+'V.4.2.NA. Reportes ARL'!D10</f>
        <v>26688</v>
      </c>
      <c r="D9" s="825">
        <f>+(Tabla23[[#This Row],[Total Casos de Accid. Laborales y Enf. Prof.]]/Tabla23[[#This Row],[Afiliación al SRL]])*100000</f>
        <v>1865.9374818653503</v>
      </c>
      <c r="E9" s="1775">
        <f t="shared" si="0"/>
        <v>1.8659374818653502E-2</v>
      </c>
      <c r="N9" s="371"/>
      <c r="O9" s="371"/>
      <c r="P9" s="371"/>
      <c r="Q9" s="371"/>
      <c r="R9" s="371"/>
    </row>
    <row r="10" spans="1:18" ht="27" customHeight="1">
      <c r="A10" s="709" t="s">
        <v>465</v>
      </c>
      <c r="B10" s="824">
        <v>1530322</v>
      </c>
      <c r="C10" s="824">
        <f>+'V.4.2.NA. Reportes ARL'!D11</f>
        <v>28635</v>
      </c>
      <c r="D10" s="825">
        <f>+(Tabla23[[#This Row],[Total Casos de Accid. Laborales y Enf. Prof.]]/Tabla23[[#This Row],[Afiliación al SRL]])*100000</f>
        <v>1871.174824644748</v>
      </c>
      <c r="E10" s="1775">
        <f t="shared" si="0"/>
        <v>1.8711748246447481E-2</v>
      </c>
      <c r="N10" s="371"/>
      <c r="O10" s="371"/>
      <c r="P10" s="371"/>
      <c r="Q10" s="371"/>
      <c r="R10" s="371"/>
    </row>
    <row r="11" spans="1:18" ht="27" customHeight="1">
      <c r="A11" s="709" t="s">
        <v>466</v>
      </c>
      <c r="B11" s="824">
        <v>1651202</v>
      </c>
      <c r="C11" s="824">
        <f>+'V.4.2.NA. Reportes ARL'!D12</f>
        <v>31032</v>
      </c>
      <c r="D11" s="825">
        <f>+(Tabla23[[#This Row],[Total Casos de Accid. Laborales y Enf. Prof.]]/Tabla23[[#This Row],[Afiliación al SRL]])*100000</f>
        <v>1879.3581887618836</v>
      </c>
      <c r="E11" s="1775">
        <f t="shared" si="0"/>
        <v>1.8793581887618836E-2</v>
      </c>
      <c r="N11" s="371"/>
      <c r="O11" s="371"/>
      <c r="P11" s="371"/>
      <c r="Q11" s="371"/>
      <c r="R11" s="371"/>
    </row>
    <row r="12" spans="1:18" s="372" customFormat="1" ht="27" customHeight="1">
      <c r="A12" s="709" t="s">
        <v>467</v>
      </c>
      <c r="B12" s="824">
        <v>1759458</v>
      </c>
      <c r="C12" s="824">
        <v>34549</v>
      </c>
      <c r="D12" s="825">
        <f>+(Tabla23[[#This Row],[Total Casos de Accid. Laborales y Enf. Prof.]]/Tabla23[[#This Row],[Afiliación al SRL]])*100000</f>
        <v>1963.6160681300721</v>
      </c>
      <c r="E12" s="1775">
        <f t="shared" si="0"/>
        <v>1.963616068130072E-2</v>
      </c>
      <c r="L12" s="307"/>
      <c r="N12" s="373"/>
      <c r="O12" s="371"/>
      <c r="P12" s="373"/>
      <c r="Q12" s="373"/>
      <c r="R12" s="373"/>
    </row>
    <row r="13" spans="1:18" ht="27" customHeight="1">
      <c r="A13" s="709" t="s">
        <v>468</v>
      </c>
      <c r="B13" s="824">
        <v>1888238</v>
      </c>
      <c r="C13" s="824">
        <v>38856</v>
      </c>
      <c r="D13" s="825">
        <f>+(Tabla23[[#This Row],[Total Casos de Accid. Laborales y Enf. Prof.]]/Tabla23[[#This Row],[Afiliación al SRL]])*100000</f>
        <v>2057.7914436633519</v>
      </c>
      <c r="E13" s="1775">
        <f t="shared" si="0"/>
        <v>2.0577914436633517E-2</v>
      </c>
      <c r="N13" s="371"/>
      <c r="O13" s="371"/>
      <c r="P13" s="371"/>
      <c r="Q13" s="371"/>
      <c r="R13" s="371"/>
    </row>
    <row r="14" spans="1:18" ht="27" customHeight="1">
      <c r="A14" s="709" t="s">
        <v>469</v>
      </c>
      <c r="B14" s="824">
        <v>2050322</v>
      </c>
      <c r="C14" s="824">
        <v>41489</v>
      </c>
      <c r="D14" s="825">
        <f>+(Tabla23[[#This Row],[Total Casos de Accid. Laborales y Enf. Prof.]]/Tabla23[[#This Row],[Afiliación al SRL]])*100000</f>
        <v>2023.5358153499792</v>
      </c>
      <c r="E14" s="1775">
        <f t="shared" si="0"/>
        <v>2.0235358153499791E-2</v>
      </c>
      <c r="N14" s="371"/>
      <c r="O14" s="371"/>
      <c r="P14" s="371"/>
      <c r="Q14" s="371"/>
      <c r="R14" s="371"/>
    </row>
    <row r="15" spans="1:18" ht="27" customHeight="1">
      <c r="A15" s="709" t="s">
        <v>617</v>
      </c>
      <c r="B15" s="824">
        <v>2202518</v>
      </c>
      <c r="C15" s="824">
        <v>45470</v>
      </c>
      <c r="D15" s="825">
        <f>+(Tabla23[[#This Row],[Total Casos de Accid. Laborales y Enf. Prof.]]/Tabla23[[#This Row],[Afiliación al SRL]])*100000</f>
        <v>2064.4553188668606</v>
      </c>
      <c r="E15" s="1775">
        <f t="shared" si="0"/>
        <v>2.0644553188668605E-2</v>
      </c>
      <c r="N15" s="371"/>
      <c r="O15" s="371"/>
      <c r="P15" s="371"/>
      <c r="Q15" s="371"/>
      <c r="R15" s="371"/>
    </row>
    <row r="16" spans="1:18" ht="27" customHeight="1">
      <c r="A16" s="709" t="s">
        <v>618</v>
      </c>
      <c r="B16" s="824">
        <v>2299153</v>
      </c>
      <c r="C16" s="824">
        <v>49148</v>
      </c>
      <c r="D16" s="825">
        <f>+(Tabla23[[#This Row],[Total Casos de Accid. Laborales y Enf. Prof.]]/Tabla23[[#This Row],[Afiliación al SRL]])*100000</f>
        <v>2137.6567805622331</v>
      </c>
      <c r="E16" s="1775">
        <f t="shared" si="0"/>
        <v>2.1376567805622332E-2</v>
      </c>
      <c r="N16" s="371"/>
      <c r="O16" s="371"/>
      <c r="P16" s="371"/>
      <c r="Q16" s="371"/>
      <c r="R16" s="371"/>
    </row>
    <row r="17" spans="1:18" ht="27" customHeight="1">
      <c r="A17" s="709" t="s">
        <v>537</v>
      </c>
      <c r="B17" s="824">
        <v>2117050</v>
      </c>
      <c r="C17" s="824">
        <v>40145</v>
      </c>
      <c r="D17" s="825">
        <f>+(Tabla23[[#This Row],[Total Casos de Accid. Laborales y Enf. Prof.]]/Tabla23[[#This Row],[Afiliación al SRL]])*100000</f>
        <v>1896.2707541153964</v>
      </c>
      <c r="E17" s="1775">
        <f t="shared" si="0"/>
        <v>1.8962707541153964E-2</v>
      </c>
      <c r="N17" s="371"/>
      <c r="O17" s="371"/>
      <c r="P17" s="371"/>
      <c r="Q17" s="371"/>
      <c r="R17" s="371"/>
    </row>
    <row r="18" spans="1:18" ht="27" customHeight="1">
      <c r="A18" s="709" t="s">
        <v>700</v>
      </c>
      <c r="B18" s="824">
        <v>2352043</v>
      </c>
      <c r="C18" s="824">
        <v>47450</v>
      </c>
      <c r="D18" s="825">
        <f>+(Tabla23[[#This Row],[Total Casos de Accid. Laborales y Enf. Prof.]]/Tabla23[[#This Row],[Afiliación al SRL]])*100000</f>
        <v>2017.3950901407841</v>
      </c>
      <c r="E18" s="1775">
        <f t="shared" si="0"/>
        <v>2.017395090140784E-2</v>
      </c>
      <c r="N18" s="371"/>
      <c r="O18" s="371"/>
      <c r="P18" s="371"/>
      <c r="Q18" s="371"/>
      <c r="R18" s="371"/>
    </row>
    <row r="19" spans="1:18" ht="27" customHeight="1">
      <c r="A19" s="826" t="s">
        <v>569</v>
      </c>
      <c r="B19" s="824">
        <v>2405039</v>
      </c>
      <c r="C19" s="824">
        <v>49595</v>
      </c>
      <c r="D19" s="825">
        <f>+(Tabla23[[#This Row],[Total Casos de Accid. Laborales y Enf. Prof.]]/Tabla23[[#This Row],[Afiliación al SRL]])*100000</f>
        <v>2062.1287222369369</v>
      </c>
      <c r="E19" s="1775">
        <f t="shared" si="0"/>
        <v>2.0621287222369368E-2</v>
      </c>
      <c r="N19" s="371"/>
      <c r="O19" s="371"/>
      <c r="P19" s="371"/>
      <c r="Q19" s="371"/>
      <c r="R19" s="371"/>
    </row>
    <row r="20" spans="1:18" ht="27" customHeight="1">
      <c r="A20" s="826" t="s">
        <v>570</v>
      </c>
      <c r="B20" s="824">
        <v>2455244</v>
      </c>
      <c r="C20" s="824">
        <v>46797</v>
      </c>
      <c r="D20" s="825">
        <f>+(Tabla23[[#This Row],[Total Casos de Accid. Laborales y Enf. Prof.]]/Tabla23[[#This Row],[Afiliación al SRL]])*100000</f>
        <v>1906.0020103908205</v>
      </c>
      <c r="E20" s="1775">
        <f t="shared" si="0"/>
        <v>1.9060020103908205E-2</v>
      </c>
      <c r="N20" s="371"/>
      <c r="O20" s="371"/>
      <c r="P20" s="371"/>
      <c r="Q20" s="371"/>
      <c r="R20" s="371"/>
    </row>
    <row r="21" spans="1:18" ht="27" customHeight="1">
      <c r="A21" s="1248" t="s">
        <v>476</v>
      </c>
      <c r="B21" s="824">
        <v>2515541</v>
      </c>
      <c r="C21" s="824">
        <v>50232</v>
      </c>
      <c r="D21" s="825">
        <v>1996.8666779829866</v>
      </c>
      <c r="E21" s="1775">
        <f t="shared" si="0"/>
        <v>1.9968666779829867E-2</v>
      </c>
      <c r="N21" s="371"/>
      <c r="O21" s="371"/>
      <c r="P21" s="371"/>
      <c r="Q21" s="371"/>
      <c r="R21" s="371"/>
    </row>
    <row r="22" spans="1:18" ht="27" customHeight="1">
      <c r="A22" s="826" t="str">
        <f>+'Resumen '!O6</f>
        <v>Abr.2025</v>
      </c>
      <c r="B22" s="824">
        <f>+'Resumen '!D14</f>
        <v>2554953</v>
      </c>
      <c r="C22" s="824">
        <f>+'Resumen '!D7</f>
        <v>16749</v>
      </c>
      <c r="D22" s="825">
        <f>+(Tabla23[[#This Row],[Total Casos de Accid. Laborales y Enf. Prof.]]/Tabla23[[#This Row],[Afiliación al SRL]])*100000</f>
        <v>655.55021951480126</v>
      </c>
      <c r="E22" s="1775">
        <f t="shared" si="0"/>
        <v>6.5555021951480127E-3</v>
      </c>
      <c r="N22" s="371"/>
      <c r="O22" s="374"/>
      <c r="P22" s="371"/>
      <c r="Q22" s="371"/>
      <c r="R22" s="371"/>
    </row>
    <row r="23" spans="1:18" ht="27" customHeight="1">
      <c r="A23" s="827" t="s">
        <v>752</v>
      </c>
      <c r="B23" s="974"/>
      <c r="C23" s="668"/>
      <c r="D23" s="668">
        <f>AVERAGE(D5:D22)</f>
        <v>1776.8985901806491</v>
      </c>
      <c r="E23" s="975">
        <f>AVERAGE(E5:E22)</f>
        <v>1.7768985901806492E-2</v>
      </c>
      <c r="N23" s="371"/>
      <c r="O23" s="371"/>
      <c r="P23" s="371"/>
      <c r="Q23" s="371"/>
      <c r="R23" s="371"/>
    </row>
    <row r="24" spans="1:18" ht="27.75" customHeight="1">
      <c r="A24" s="955" t="s">
        <v>753</v>
      </c>
      <c r="N24" s="371"/>
      <c r="O24" s="371"/>
      <c r="P24" s="371"/>
      <c r="Q24" s="371"/>
      <c r="R24" s="371"/>
    </row>
    <row r="25" spans="1:18">
      <c r="N25" s="364"/>
      <c r="O25" s="371"/>
    </row>
    <row r="26" spans="1:18">
      <c r="N26" s="364"/>
      <c r="O26" s="371"/>
    </row>
    <row r="27" spans="1:18">
      <c r="N27" s="364"/>
      <c r="O27" s="364"/>
    </row>
    <row r="28" spans="1:18" ht="15">
      <c r="A28" s="375">
        <v>100000</v>
      </c>
      <c r="N28" s="364"/>
      <c r="O28" s="364"/>
    </row>
    <row r="29" spans="1:18">
      <c r="N29" s="364"/>
      <c r="O29" s="364"/>
    </row>
    <row r="30" spans="1:18">
      <c r="N30" s="364"/>
      <c r="O30" s="364"/>
    </row>
    <row r="31" spans="1:18" ht="69" customHeight="1">
      <c r="N31" s="364"/>
      <c r="O31" s="364"/>
      <c r="P31" s="358"/>
    </row>
    <row r="32" spans="1:18">
      <c r="N32" s="364"/>
      <c r="O32" s="364"/>
    </row>
    <row r="33" spans="14:15">
      <c r="N33" s="364"/>
      <c r="O33" s="364"/>
    </row>
    <row r="34" spans="14:15">
      <c r="N34" s="364"/>
      <c r="O34" s="364"/>
    </row>
    <row r="35" spans="14:15" ht="52.5" customHeight="1">
      <c r="N35" s="364"/>
      <c r="O35" s="364"/>
    </row>
    <row r="36" spans="14:15" ht="101.25" customHeight="1">
      <c r="N36" s="364"/>
      <c r="O36" s="364"/>
    </row>
    <row r="37" spans="14:15">
      <c r="N37" s="364"/>
      <c r="O37" s="364"/>
    </row>
    <row r="38" spans="14:15">
      <c r="N38" s="364"/>
      <c r="O38" s="364"/>
    </row>
    <row r="41" spans="14:15" ht="67.5" customHeight="1"/>
  </sheetData>
  <mergeCells count="3">
    <mergeCell ref="A1:M1"/>
    <mergeCell ref="A3:M3"/>
    <mergeCell ref="A2:M2"/>
  </mergeCells>
  <conditionalFormatting sqref="B15:C20 B22:C22 E5:E22">
    <cfRule type="cellIs" dxfId="443" priority="3" operator="equal">
      <formula>0</formula>
    </cfRule>
  </conditionalFormatting>
  <conditionalFormatting sqref="B21:C21">
    <cfRule type="cellIs" dxfId="442" priority="1"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307" customWidth="1"/>
    <col min="5" max="5" width="22.140625" style="307" customWidth="1"/>
    <col min="6" max="6" width="21.28515625" style="307" customWidth="1"/>
    <col min="7" max="8" width="10.7109375" style="307" customWidth="1"/>
    <col min="9" max="9" width="27.28515625" style="307" customWidth="1"/>
    <col min="10" max="10" width="20.28515625" style="307" customWidth="1"/>
    <col min="11" max="11" width="26.7109375" style="307" customWidth="1"/>
    <col min="12" max="13" width="20.28515625" style="307" customWidth="1"/>
    <col min="14" max="14" width="31.42578125" style="307" customWidth="1"/>
    <col min="15" max="15" width="29.140625" style="307" customWidth="1"/>
    <col min="16" max="16" width="16.140625" style="307" customWidth="1"/>
    <col min="17" max="16384" width="11.42578125" style="307"/>
  </cols>
  <sheetData>
    <row r="5" spans="1:16" ht="54" customHeight="1"/>
    <row r="6" spans="1:16" ht="20.25" customHeight="1"/>
    <row r="7" spans="1:16" ht="14.25" customHeight="1">
      <c r="A7" s="2218" t="s">
        <v>754</v>
      </c>
      <c r="B7" s="2218"/>
      <c r="C7" s="2218"/>
      <c r="D7" s="2218"/>
      <c r="E7" s="2218"/>
      <c r="F7" s="2218"/>
      <c r="G7" s="2218"/>
      <c r="H7" s="2218"/>
      <c r="I7" s="2218"/>
      <c r="J7" s="2218"/>
      <c r="K7" s="2218"/>
      <c r="L7" s="2218"/>
      <c r="M7" s="2218"/>
      <c r="N7" s="2218"/>
      <c r="O7" s="2218"/>
      <c r="P7" s="2218"/>
    </row>
    <row r="8" spans="1:16" ht="14.25" customHeight="1">
      <c r="A8" s="2218"/>
      <c r="B8" s="2218"/>
      <c r="C8" s="2218"/>
      <c r="D8" s="2218"/>
      <c r="E8" s="2218"/>
      <c r="F8" s="2218"/>
      <c r="G8" s="2218"/>
      <c r="H8" s="2218"/>
      <c r="I8" s="2218"/>
      <c r="J8" s="2218"/>
      <c r="K8" s="2218"/>
      <c r="L8" s="2218"/>
      <c r="M8" s="2218"/>
      <c r="N8" s="2218"/>
      <c r="O8" s="2218"/>
      <c r="P8" s="2218"/>
    </row>
    <row r="9" spans="1:16" ht="14.25" customHeight="1">
      <c r="A9" s="2218"/>
      <c r="B9" s="2218"/>
      <c r="C9" s="2218"/>
      <c r="D9" s="2218"/>
      <c r="E9" s="2218"/>
      <c r="F9" s="2218"/>
      <c r="G9" s="2218"/>
      <c r="H9" s="2218"/>
      <c r="I9" s="2218"/>
      <c r="J9" s="2218"/>
      <c r="K9" s="2218"/>
      <c r="L9" s="2218"/>
      <c r="M9" s="2218"/>
      <c r="N9" s="2218"/>
      <c r="O9" s="2218"/>
      <c r="P9" s="2218"/>
    </row>
    <row r="10" spans="1:16" ht="14.25" customHeight="1">
      <c r="A10" s="2218"/>
      <c r="B10" s="2218"/>
      <c r="C10" s="2218"/>
      <c r="D10" s="2218"/>
      <c r="E10" s="2218"/>
      <c r="F10" s="2218"/>
      <c r="G10" s="2218"/>
      <c r="H10" s="2218"/>
      <c r="I10" s="2218"/>
      <c r="J10" s="2218"/>
      <c r="K10" s="2218"/>
      <c r="L10" s="2218"/>
      <c r="M10" s="2218"/>
      <c r="N10" s="2218"/>
      <c r="O10" s="2218"/>
      <c r="P10" s="2218"/>
    </row>
    <row r="11" spans="1:16" ht="14.25" customHeight="1">
      <c r="A11" s="2218"/>
      <c r="B11" s="2218"/>
      <c r="C11" s="2218"/>
      <c r="D11" s="2218"/>
      <c r="E11" s="2218"/>
      <c r="F11" s="2218"/>
      <c r="G11" s="2218"/>
      <c r="H11" s="2218"/>
      <c r="I11" s="2218"/>
      <c r="J11" s="2218"/>
      <c r="K11" s="2218"/>
      <c r="L11" s="2218"/>
      <c r="M11" s="2218"/>
      <c r="N11" s="2218"/>
      <c r="O11" s="2218"/>
      <c r="P11" s="2218"/>
    </row>
    <row r="12" spans="1:16" ht="14.25" customHeight="1">
      <c r="A12" s="2218"/>
      <c r="B12" s="2218"/>
      <c r="C12" s="2218"/>
      <c r="D12" s="2218"/>
      <c r="E12" s="2218"/>
      <c r="F12" s="2218"/>
      <c r="G12" s="2218"/>
      <c r="H12" s="2218"/>
      <c r="I12" s="2218"/>
      <c r="J12" s="2218"/>
      <c r="K12" s="2218"/>
      <c r="L12" s="2218"/>
      <c r="M12" s="2218"/>
      <c r="N12" s="2218"/>
      <c r="O12" s="2218"/>
      <c r="P12" s="2218"/>
    </row>
    <row r="13" spans="1:16" ht="14.25" customHeight="1">
      <c r="A13" s="2218"/>
      <c r="B13" s="2218"/>
      <c r="C13" s="2218"/>
      <c r="D13" s="2218"/>
      <c r="E13" s="2218"/>
      <c r="F13" s="2218"/>
      <c r="G13" s="2218"/>
      <c r="H13" s="2218"/>
      <c r="I13" s="2218"/>
      <c r="J13" s="2218"/>
      <c r="K13" s="2218"/>
      <c r="L13" s="2218"/>
      <c r="M13" s="2218"/>
      <c r="N13" s="2218"/>
      <c r="O13" s="2218"/>
      <c r="P13" s="2218"/>
    </row>
    <row r="14" spans="1:16" ht="14.25" customHeight="1">
      <c r="A14" s="2218"/>
      <c r="B14" s="2218"/>
      <c r="C14" s="2218"/>
      <c r="D14" s="2218"/>
      <c r="E14" s="2218"/>
      <c r="F14" s="2218"/>
      <c r="G14" s="2218"/>
      <c r="H14" s="2218"/>
      <c r="I14" s="2218"/>
      <c r="J14" s="2218"/>
      <c r="K14" s="2218"/>
      <c r="L14" s="2218"/>
      <c r="M14" s="2218"/>
      <c r="N14" s="2218"/>
      <c r="O14" s="2218"/>
      <c r="P14" s="2218"/>
    </row>
    <row r="15" spans="1:16" ht="14.25" customHeight="1">
      <c r="A15" s="2218"/>
      <c r="B15" s="2218"/>
      <c r="C15" s="2218"/>
      <c r="D15" s="2218"/>
      <c r="E15" s="2218"/>
      <c r="F15" s="2218"/>
      <c r="G15" s="2218"/>
      <c r="H15" s="2218"/>
      <c r="I15" s="2218"/>
      <c r="J15" s="2218"/>
      <c r="K15" s="2218"/>
      <c r="L15" s="2218"/>
      <c r="M15" s="2218"/>
      <c r="N15" s="2218"/>
      <c r="O15" s="2218"/>
      <c r="P15" s="2218"/>
    </row>
    <row r="16" spans="1:16" ht="14.25" customHeight="1">
      <c r="A16" s="2218"/>
      <c r="B16" s="2218"/>
      <c r="C16" s="2218"/>
      <c r="D16" s="2218"/>
      <c r="E16" s="2218"/>
      <c r="F16" s="2218"/>
      <c r="G16" s="2218"/>
      <c r="H16" s="2218"/>
      <c r="I16" s="2218"/>
      <c r="J16" s="2218"/>
      <c r="K16" s="2218"/>
      <c r="L16" s="2218"/>
      <c r="M16" s="2218"/>
      <c r="N16" s="2218"/>
      <c r="O16" s="2218"/>
      <c r="P16" s="2218"/>
    </row>
    <row r="17" spans="1:16" ht="14.25" customHeight="1">
      <c r="A17" s="2218"/>
      <c r="B17" s="2218"/>
      <c r="C17" s="2218"/>
      <c r="D17" s="2218"/>
      <c r="E17" s="2218"/>
      <c r="F17" s="2218"/>
      <c r="G17" s="2218"/>
      <c r="H17" s="2218"/>
      <c r="I17" s="2218"/>
      <c r="J17" s="2218"/>
      <c r="K17" s="2218"/>
      <c r="L17" s="2218"/>
      <c r="M17" s="2218"/>
      <c r="N17" s="2218"/>
      <c r="O17" s="2218"/>
      <c r="P17" s="2218"/>
    </row>
    <row r="18" spans="1:16" ht="14.25" customHeight="1">
      <c r="A18" s="2218"/>
      <c r="B18" s="2218"/>
      <c r="C18" s="2218"/>
      <c r="D18" s="2218"/>
      <c r="E18" s="2218"/>
      <c r="F18" s="2218"/>
      <c r="G18" s="2218"/>
      <c r="H18" s="2218"/>
      <c r="I18" s="2218"/>
      <c r="J18" s="2218"/>
      <c r="K18" s="2218"/>
      <c r="L18" s="2218"/>
      <c r="M18" s="2218"/>
      <c r="N18" s="2218"/>
      <c r="O18" s="2218"/>
      <c r="P18" s="2218"/>
    </row>
    <row r="19" spans="1:16" ht="14.25" customHeight="1">
      <c r="A19" s="2218"/>
      <c r="B19" s="2218"/>
      <c r="C19" s="2218"/>
      <c r="D19" s="2218"/>
      <c r="E19" s="2218"/>
      <c r="F19" s="2218"/>
      <c r="G19" s="2218"/>
      <c r="H19" s="2218"/>
      <c r="I19" s="2218"/>
      <c r="J19" s="2218"/>
      <c r="K19" s="2218"/>
      <c r="L19" s="2218"/>
      <c r="M19" s="2218"/>
      <c r="N19" s="2218"/>
      <c r="O19" s="2218"/>
      <c r="P19" s="2218"/>
    </row>
    <row r="20" spans="1:16" ht="14.25" customHeight="1">
      <c r="A20" s="2218"/>
      <c r="B20" s="2218"/>
      <c r="C20" s="2218"/>
      <c r="D20" s="2218"/>
      <c r="E20" s="2218"/>
      <c r="F20" s="2218"/>
      <c r="G20" s="2218"/>
      <c r="H20" s="2218"/>
      <c r="I20" s="2218"/>
      <c r="J20" s="2218"/>
      <c r="K20" s="2218"/>
      <c r="L20" s="2218"/>
      <c r="M20" s="2218"/>
      <c r="N20" s="2218"/>
      <c r="O20" s="2218"/>
      <c r="P20" s="2218"/>
    </row>
    <row r="21" spans="1:16" ht="14.25" customHeight="1">
      <c r="A21" s="2218"/>
      <c r="B21" s="2218"/>
      <c r="C21" s="2218"/>
      <c r="D21" s="2218"/>
      <c r="E21" s="2218"/>
      <c r="F21" s="2218"/>
      <c r="G21" s="2218"/>
      <c r="H21" s="2218"/>
      <c r="I21" s="2218"/>
      <c r="J21" s="2218"/>
      <c r="K21" s="2218"/>
      <c r="L21" s="2218"/>
      <c r="M21" s="2218"/>
      <c r="N21" s="2218"/>
      <c r="O21" s="2218"/>
      <c r="P21" s="2218"/>
    </row>
    <row r="22" spans="1:16" ht="14.25" customHeight="1">
      <c r="A22" s="2218"/>
      <c r="B22" s="2218"/>
      <c r="C22" s="2218"/>
      <c r="D22" s="2218"/>
      <c r="E22" s="2218"/>
      <c r="F22" s="2218"/>
      <c r="G22" s="2218"/>
      <c r="H22" s="2218"/>
      <c r="I22" s="2218"/>
      <c r="J22" s="2218"/>
      <c r="K22" s="2218"/>
      <c r="L22" s="2218"/>
      <c r="M22" s="2218"/>
      <c r="N22" s="2218"/>
      <c r="O22" s="2218"/>
      <c r="P22" s="2218"/>
    </row>
    <row r="23" spans="1:16" ht="14.25" customHeight="1">
      <c r="A23" s="2218"/>
      <c r="B23" s="2218"/>
      <c r="C23" s="2218"/>
      <c r="D23" s="2218"/>
      <c r="E23" s="2218"/>
      <c r="F23" s="2218"/>
      <c r="G23" s="2218"/>
      <c r="H23" s="2218"/>
      <c r="I23" s="2218"/>
      <c r="J23" s="2218"/>
      <c r="K23" s="2218"/>
      <c r="L23" s="2218"/>
      <c r="M23" s="2218"/>
      <c r="N23" s="2218"/>
      <c r="O23" s="2218"/>
      <c r="P23" s="2218"/>
    </row>
    <row r="24" spans="1:16" ht="14.25" customHeight="1">
      <c r="A24" s="2218"/>
      <c r="B24" s="2218"/>
      <c r="C24" s="2218"/>
      <c r="D24" s="2218"/>
      <c r="E24" s="2218"/>
      <c r="F24" s="2218"/>
      <c r="G24" s="2218"/>
      <c r="H24" s="2218"/>
      <c r="I24" s="2218"/>
      <c r="J24" s="2218"/>
      <c r="K24" s="2218"/>
      <c r="L24" s="2218"/>
      <c r="M24" s="2218"/>
      <c r="N24" s="2218"/>
      <c r="O24" s="2218"/>
      <c r="P24" s="2218"/>
    </row>
    <row r="25" spans="1:16" ht="14.25" customHeight="1">
      <c r="A25" s="2218"/>
      <c r="B25" s="2218"/>
      <c r="C25" s="2218"/>
      <c r="D25" s="2218"/>
      <c r="E25" s="2218"/>
      <c r="F25" s="2218"/>
      <c r="G25" s="2218"/>
      <c r="H25" s="2218"/>
      <c r="I25" s="2218"/>
      <c r="J25" s="2218"/>
      <c r="K25" s="2218"/>
      <c r="L25" s="2218"/>
      <c r="M25" s="2218"/>
      <c r="N25" s="2218"/>
      <c r="O25" s="2218"/>
      <c r="P25" s="2218"/>
    </row>
    <row r="26" spans="1:16" ht="14.25" customHeight="1">
      <c r="A26" s="2218"/>
      <c r="B26" s="2218"/>
      <c r="C26" s="2218"/>
      <c r="D26" s="2218"/>
      <c r="E26" s="2218"/>
      <c r="F26" s="2218"/>
      <c r="G26" s="2218"/>
      <c r="H26" s="2218"/>
      <c r="I26" s="2218"/>
      <c r="J26" s="2218"/>
      <c r="K26" s="2218"/>
      <c r="L26" s="2218"/>
      <c r="M26" s="2218"/>
      <c r="N26" s="2218"/>
      <c r="O26" s="2218"/>
      <c r="P26" s="2218"/>
    </row>
    <row r="27" spans="1:16" ht="14.25" customHeight="1">
      <c r="A27" s="2218"/>
      <c r="B27" s="2218"/>
      <c r="C27" s="2218"/>
      <c r="D27" s="2218"/>
      <c r="E27" s="2218"/>
      <c r="F27" s="2218"/>
      <c r="G27" s="2218"/>
      <c r="H27" s="2218"/>
      <c r="I27" s="2218"/>
      <c r="J27" s="2218"/>
      <c r="K27" s="2218"/>
      <c r="L27" s="2218"/>
      <c r="M27" s="2218"/>
      <c r="N27" s="2218"/>
      <c r="O27" s="2218"/>
      <c r="P27" s="2218"/>
    </row>
    <row r="28" spans="1:16" ht="14.25" customHeight="1">
      <c r="A28" s="2218"/>
      <c r="B28" s="2218"/>
      <c r="C28" s="2218"/>
      <c r="D28" s="2218"/>
      <c r="E28" s="2218"/>
      <c r="F28" s="2218"/>
      <c r="G28" s="2218"/>
      <c r="H28" s="2218"/>
      <c r="I28" s="2218"/>
      <c r="J28" s="2218"/>
      <c r="K28" s="2218"/>
      <c r="L28" s="2218"/>
      <c r="M28" s="2218"/>
      <c r="N28" s="2218"/>
      <c r="O28" s="2218"/>
      <c r="P28" s="2218"/>
    </row>
    <row r="29" spans="1:16" ht="14.25" customHeight="1">
      <c r="A29" s="2218"/>
      <c r="B29" s="2218"/>
      <c r="C29" s="2218"/>
      <c r="D29" s="2218"/>
      <c r="E29" s="2218"/>
      <c r="F29" s="2218"/>
      <c r="G29" s="2218"/>
      <c r="H29" s="2218"/>
      <c r="I29" s="2218"/>
      <c r="J29" s="2218"/>
      <c r="K29" s="2218"/>
      <c r="L29" s="2218"/>
      <c r="M29" s="2218"/>
      <c r="N29" s="2218"/>
      <c r="O29" s="2218"/>
      <c r="P29" s="2218"/>
    </row>
    <row r="30" spans="1:16" ht="14.25" customHeight="1">
      <c r="A30" s="2218"/>
      <c r="B30" s="2218"/>
      <c r="C30" s="2218"/>
      <c r="D30" s="2218"/>
      <c r="E30" s="2218"/>
      <c r="F30" s="2218"/>
      <c r="G30" s="2218"/>
      <c r="H30" s="2218"/>
      <c r="I30" s="2218"/>
      <c r="J30" s="2218"/>
      <c r="K30" s="2218"/>
      <c r="L30" s="2218"/>
      <c r="M30" s="2218"/>
      <c r="N30" s="2218"/>
      <c r="O30" s="2218"/>
      <c r="P30" s="2218"/>
    </row>
    <row r="31" spans="1:16" ht="14.25" customHeight="1">
      <c r="A31" s="2218"/>
      <c r="B31" s="2218"/>
      <c r="C31" s="2218"/>
      <c r="D31" s="2218"/>
      <c r="E31" s="2218"/>
      <c r="F31" s="2218"/>
      <c r="G31" s="2218"/>
      <c r="H31" s="2218"/>
      <c r="I31" s="2218"/>
      <c r="J31" s="2218"/>
      <c r="K31" s="2218"/>
      <c r="L31" s="2218"/>
      <c r="M31" s="2218"/>
      <c r="N31" s="2218"/>
      <c r="O31" s="2218"/>
      <c r="P31" s="2218"/>
    </row>
    <row r="32" spans="1:16" ht="14.25" customHeight="1">
      <c r="A32" s="2218"/>
      <c r="B32" s="2218"/>
      <c r="C32" s="2218"/>
      <c r="D32" s="2218"/>
      <c r="E32" s="2218"/>
      <c r="F32" s="2218"/>
      <c r="G32" s="2218"/>
      <c r="H32" s="2218"/>
      <c r="I32" s="2218"/>
      <c r="J32" s="2218"/>
      <c r="K32" s="2218"/>
      <c r="L32" s="2218"/>
      <c r="M32" s="2218"/>
      <c r="N32" s="2218"/>
      <c r="O32" s="2218"/>
      <c r="P32" s="2218"/>
    </row>
    <row r="33" spans="1:16" ht="14.25" customHeight="1">
      <c r="A33" s="2218"/>
      <c r="B33" s="2218"/>
      <c r="C33" s="2218"/>
      <c r="D33" s="2218"/>
      <c r="E33" s="2218"/>
      <c r="F33" s="2218"/>
      <c r="G33" s="2218"/>
      <c r="H33" s="2218"/>
      <c r="I33" s="2218"/>
      <c r="J33" s="2218"/>
      <c r="K33" s="2218"/>
      <c r="L33" s="2218"/>
      <c r="M33" s="2218"/>
      <c r="N33" s="2218"/>
      <c r="O33" s="2218"/>
      <c r="P33" s="2218"/>
    </row>
    <row r="34" spans="1:16" ht="14.25" customHeight="1">
      <c r="A34" s="2218"/>
      <c r="B34" s="2218"/>
      <c r="C34" s="2218"/>
      <c r="D34" s="2218"/>
      <c r="E34" s="2218"/>
      <c r="F34" s="2218"/>
      <c r="G34" s="2218"/>
      <c r="H34" s="2218"/>
      <c r="I34" s="2218"/>
      <c r="J34" s="2218"/>
      <c r="K34" s="2218"/>
      <c r="L34" s="2218"/>
      <c r="M34" s="2218"/>
      <c r="N34" s="2218"/>
      <c r="O34" s="2218"/>
      <c r="P34" s="2218"/>
    </row>
    <row r="35" spans="1:16" ht="14.25" customHeight="1">
      <c r="A35" s="2218"/>
      <c r="B35" s="2218"/>
      <c r="C35" s="2218"/>
      <c r="D35" s="2218"/>
      <c r="E35" s="2218"/>
      <c r="F35" s="2218"/>
      <c r="G35" s="2218"/>
      <c r="H35" s="2218"/>
      <c r="I35" s="2218"/>
      <c r="J35" s="2218"/>
      <c r="K35" s="2218"/>
      <c r="L35" s="2218"/>
      <c r="M35" s="2218"/>
      <c r="N35" s="2218"/>
      <c r="O35" s="2218"/>
      <c r="P35" s="2218"/>
    </row>
    <row r="36" spans="1:16" ht="14.25" customHeight="1">
      <c r="A36" s="2218"/>
      <c r="B36" s="2218"/>
      <c r="C36" s="2218"/>
      <c r="D36" s="2218"/>
      <c r="E36" s="2218"/>
      <c r="F36" s="2218"/>
      <c r="G36" s="2218"/>
      <c r="H36" s="2218"/>
      <c r="I36" s="2218"/>
      <c r="J36" s="2218"/>
      <c r="K36" s="2218"/>
      <c r="L36" s="2218"/>
      <c r="M36" s="2218"/>
      <c r="N36" s="2218"/>
      <c r="O36" s="2218"/>
      <c r="P36" s="2218"/>
    </row>
    <row r="37" spans="1:16" ht="14.25" customHeight="1">
      <c r="A37" s="2218"/>
      <c r="B37" s="2218"/>
      <c r="C37" s="2218"/>
      <c r="D37" s="2218"/>
      <c r="E37" s="2218"/>
      <c r="F37" s="2218"/>
      <c r="G37" s="2218"/>
      <c r="H37" s="2218"/>
      <c r="I37" s="2218"/>
      <c r="J37" s="2218"/>
      <c r="K37" s="2218"/>
      <c r="L37" s="2218"/>
      <c r="M37" s="2218"/>
      <c r="N37" s="2218"/>
      <c r="O37" s="2218"/>
      <c r="P37" s="2218"/>
    </row>
    <row r="38" spans="1:16" ht="14.25" customHeight="1">
      <c r="A38" s="2218"/>
      <c r="B38" s="2218"/>
      <c r="C38" s="2218"/>
      <c r="D38" s="2218"/>
      <c r="E38" s="2218"/>
      <c r="F38" s="2218"/>
      <c r="G38" s="2218"/>
      <c r="H38" s="2218"/>
      <c r="I38" s="2218"/>
      <c r="J38" s="2218"/>
      <c r="K38" s="2218"/>
      <c r="L38" s="2218"/>
      <c r="M38" s="2218"/>
      <c r="N38" s="2218"/>
      <c r="O38" s="2218"/>
      <c r="P38" s="2218"/>
    </row>
    <row r="39" spans="1:16" ht="14.25" customHeight="1">
      <c r="A39" s="2218"/>
      <c r="B39" s="2218"/>
      <c r="C39" s="2218"/>
      <c r="D39" s="2218"/>
      <c r="E39" s="2218"/>
      <c r="F39" s="2218"/>
      <c r="G39" s="2218"/>
      <c r="H39" s="2218"/>
      <c r="I39" s="2218"/>
      <c r="J39" s="2218"/>
      <c r="K39" s="2218"/>
      <c r="L39" s="2218"/>
      <c r="M39" s="2218"/>
      <c r="N39" s="2218"/>
      <c r="O39" s="2218"/>
      <c r="P39" s="2218"/>
    </row>
    <row r="40" spans="1:16" ht="14.25" customHeight="1">
      <c r="A40" s="2218"/>
      <c r="B40" s="2218"/>
      <c r="C40" s="2218"/>
      <c r="D40" s="2218"/>
      <c r="E40" s="2218"/>
      <c r="F40" s="2218"/>
      <c r="G40" s="2218"/>
      <c r="H40" s="2218"/>
      <c r="I40" s="2218"/>
      <c r="J40" s="2218"/>
      <c r="K40" s="2218"/>
      <c r="L40" s="2218"/>
      <c r="M40" s="2218"/>
      <c r="N40" s="2218"/>
      <c r="O40" s="2218"/>
      <c r="P40" s="2218"/>
    </row>
    <row r="41" spans="1:16" ht="14.25" customHeight="1">
      <c r="A41" s="2218"/>
      <c r="B41" s="2218"/>
      <c r="C41" s="2218"/>
      <c r="D41" s="2218"/>
      <c r="E41" s="2218"/>
      <c r="F41" s="2218"/>
      <c r="G41" s="2218"/>
      <c r="H41" s="2218"/>
      <c r="I41" s="2218"/>
      <c r="J41" s="2218"/>
      <c r="K41" s="2218"/>
      <c r="L41" s="2218"/>
      <c r="M41" s="2218"/>
      <c r="N41" s="2218"/>
      <c r="O41" s="2218"/>
      <c r="P41" s="2218"/>
    </row>
    <row r="42" spans="1:16" ht="14.25" customHeight="1">
      <c r="A42" s="2218"/>
      <c r="B42" s="2218"/>
      <c r="C42" s="2218"/>
      <c r="D42" s="2218"/>
      <c r="E42" s="2218"/>
      <c r="F42" s="2218"/>
      <c r="G42" s="2218"/>
      <c r="H42" s="2218"/>
      <c r="I42" s="2218"/>
      <c r="J42" s="2218"/>
      <c r="K42" s="2218"/>
      <c r="L42" s="2218"/>
      <c r="M42" s="2218"/>
      <c r="N42" s="2218"/>
      <c r="O42" s="2218"/>
      <c r="P42" s="2218"/>
    </row>
    <row r="43" spans="1:16" ht="14.25" customHeight="1">
      <c r="A43" s="2218"/>
      <c r="B43" s="2218"/>
      <c r="C43" s="2218"/>
      <c r="D43" s="2218"/>
      <c r="E43" s="2218"/>
      <c r="F43" s="2218"/>
      <c r="G43" s="2218"/>
      <c r="H43" s="2218"/>
      <c r="I43" s="2218"/>
      <c r="J43" s="2218"/>
      <c r="K43" s="2218"/>
      <c r="L43" s="2218"/>
      <c r="M43" s="2218"/>
      <c r="N43" s="2218"/>
      <c r="O43" s="2218"/>
      <c r="P43" s="2218"/>
    </row>
    <row r="44" spans="1:16" ht="14.25" customHeight="1">
      <c r="A44" s="2218"/>
      <c r="B44" s="2218"/>
      <c r="C44" s="2218"/>
      <c r="D44" s="2218"/>
      <c r="E44" s="2218"/>
      <c r="F44" s="2218"/>
      <c r="G44" s="2218"/>
      <c r="H44" s="2218"/>
      <c r="I44" s="2218"/>
      <c r="J44" s="2218"/>
      <c r="K44" s="2218"/>
      <c r="L44" s="2218"/>
      <c r="M44" s="2218"/>
      <c r="N44" s="2218"/>
      <c r="O44" s="2218"/>
      <c r="P44" s="2218"/>
    </row>
    <row r="45" spans="1:16" ht="14.25" customHeight="1">
      <c r="A45" s="2218"/>
      <c r="B45" s="2218"/>
      <c r="C45" s="2218"/>
      <c r="D45" s="2218"/>
      <c r="E45" s="2218"/>
      <c r="F45" s="2218"/>
      <c r="G45" s="2218"/>
      <c r="H45" s="2218"/>
      <c r="I45" s="2218"/>
      <c r="J45" s="2218"/>
      <c r="K45" s="2218"/>
      <c r="L45" s="2218"/>
      <c r="M45" s="2218"/>
      <c r="N45" s="2218"/>
      <c r="O45" s="2218"/>
      <c r="P45" s="2218"/>
    </row>
    <row r="46" spans="1:16" ht="14.25" customHeight="1">
      <c r="A46" s="2218"/>
      <c r="B46" s="2218"/>
      <c r="C46" s="2218"/>
      <c r="D46" s="2218"/>
      <c r="E46" s="2218"/>
      <c r="F46" s="2218"/>
      <c r="G46" s="2218"/>
      <c r="H46" s="2218"/>
      <c r="I46" s="2218"/>
      <c r="J46" s="2218"/>
      <c r="K46" s="2218"/>
      <c r="L46" s="2218"/>
      <c r="M46" s="2218"/>
      <c r="N46" s="2218"/>
      <c r="O46" s="2218"/>
      <c r="P46" s="2218"/>
    </row>
    <row r="47" spans="1:16" ht="14.25" customHeight="1">
      <c r="A47" s="2218"/>
      <c r="B47" s="2218"/>
      <c r="C47" s="2218"/>
      <c r="D47" s="2218"/>
      <c r="E47" s="2218"/>
      <c r="F47" s="2218"/>
      <c r="G47" s="2218"/>
      <c r="H47" s="2218"/>
      <c r="I47" s="2218"/>
      <c r="J47" s="2218"/>
      <c r="K47" s="2218"/>
      <c r="L47" s="2218"/>
      <c r="M47" s="2218"/>
      <c r="N47" s="2218"/>
      <c r="O47" s="2218"/>
      <c r="P47" s="2218"/>
    </row>
    <row r="48" spans="1:16" ht="14.25" customHeight="1">
      <c r="A48" s="2218"/>
      <c r="B48" s="2218"/>
      <c r="C48" s="2218"/>
      <c r="D48" s="2218"/>
      <c r="E48" s="2218"/>
      <c r="F48" s="2218"/>
      <c r="G48" s="2218"/>
      <c r="H48" s="2218"/>
      <c r="I48" s="2218"/>
      <c r="J48" s="2218"/>
      <c r="K48" s="2218"/>
      <c r="L48" s="2218"/>
      <c r="M48" s="2218"/>
      <c r="N48" s="2218"/>
      <c r="O48" s="2218"/>
      <c r="P48" s="2218"/>
    </row>
    <row r="49" spans="1:16" ht="14.25" customHeight="1">
      <c r="A49" s="2218"/>
      <c r="B49" s="2218"/>
      <c r="C49" s="2218"/>
      <c r="D49" s="2218"/>
      <c r="E49" s="2218"/>
      <c r="F49" s="2218"/>
      <c r="G49" s="2218"/>
      <c r="H49" s="2218"/>
      <c r="I49" s="2218"/>
      <c r="J49" s="2218"/>
      <c r="K49" s="2218"/>
      <c r="L49" s="2218"/>
      <c r="M49" s="2218"/>
      <c r="N49" s="2218"/>
      <c r="O49" s="2218"/>
      <c r="P49" s="2218"/>
    </row>
    <row r="50" spans="1:16" ht="14.25" customHeight="1">
      <c r="A50" s="2218"/>
      <c r="B50" s="2218"/>
      <c r="C50" s="2218"/>
      <c r="D50" s="2218"/>
      <c r="E50" s="2218"/>
      <c r="F50" s="2218"/>
      <c r="G50" s="2218"/>
      <c r="H50" s="2218"/>
      <c r="I50" s="2218"/>
      <c r="J50" s="2218"/>
      <c r="K50" s="2218"/>
      <c r="L50" s="2218"/>
      <c r="M50" s="2218"/>
      <c r="N50" s="2218"/>
      <c r="O50" s="2218"/>
      <c r="P50" s="2218"/>
    </row>
    <row r="51" spans="1:16" ht="14.25" customHeight="1">
      <c r="A51" s="2218"/>
      <c r="B51" s="2218"/>
      <c r="C51" s="2218"/>
      <c r="D51" s="2218"/>
      <c r="E51" s="2218"/>
      <c r="F51" s="2218"/>
      <c r="G51" s="2218"/>
      <c r="H51" s="2218"/>
      <c r="I51" s="2218"/>
      <c r="J51" s="2218"/>
      <c r="K51" s="2218"/>
      <c r="L51" s="2218"/>
      <c r="M51" s="2218"/>
      <c r="N51" s="2218"/>
      <c r="O51" s="2218"/>
      <c r="P51" s="2218"/>
    </row>
    <row r="52" spans="1:16" ht="14.25" customHeight="1">
      <c r="A52" s="2218"/>
      <c r="B52" s="2218"/>
      <c r="C52" s="2218"/>
      <c r="D52" s="2218"/>
      <c r="E52" s="2218"/>
      <c r="F52" s="2218"/>
      <c r="G52" s="2218"/>
      <c r="H52" s="2218"/>
      <c r="I52" s="2218"/>
      <c r="J52" s="2218"/>
      <c r="K52" s="2218"/>
      <c r="L52" s="2218"/>
      <c r="M52" s="2218"/>
      <c r="N52" s="2218"/>
      <c r="O52" s="2218"/>
      <c r="P52" s="2218"/>
    </row>
    <row r="53" spans="1:16" ht="14.25" customHeight="1">
      <c r="A53" s="2218"/>
      <c r="B53" s="2218"/>
      <c r="C53" s="2218"/>
      <c r="D53" s="2218"/>
      <c r="E53" s="2218"/>
      <c r="F53" s="2218"/>
      <c r="G53" s="2218"/>
      <c r="H53" s="2218"/>
      <c r="I53" s="2218"/>
      <c r="J53" s="2218"/>
      <c r="K53" s="2218"/>
      <c r="L53" s="2218"/>
      <c r="M53" s="2218"/>
      <c r="N53" s="2218"/>
      <c r="O53" s="2218"/>
      <c r="P53" s="2218"/>
    </row>
    <row r="54" spans="1:16" ht="92.25" customHeight="1">
      <c r="A54" s="2218"/>
      <c r="B54" s="2218"/>
      <c r="C54" s="2218"/>
      <c r="D54" s="2218"/>
      <c r="E54" s="2218"/>
      <c r="F54" s="2218"/>
      <c r="G54" s="2218"/>
      <c r="H54" s="2218"/>
      <c r="I54" s="2218"/>
      <c r="J54" s="2218"/>
      <c r="K54" s="2218"/>
      <c r="L54" s="2218"/>
      <c r="M54" s="2218"/>
      <c r="N54" s="2218"/>
      <c r="O54" s="2218"/>
      <c r="P54" s="2218"/>
    </row>
    <row r="55" spans="1:16">
      <c r="A55" s="2218"/>
      <c r="B55" s="2218"/>
      <c r="C55" s="2218"/>
      <c r="D55" s="2218"/>
      <c r="E55" s="2218"/>
      <c r="F55" s="2218"/>
      <c r="G55" s="2218"/>
      <c r="H55" s="2218"/>
      <c r="I55" s="2218"/>
      <c r="J55" s="2218"/>
      <c r="K55" s="2218"/>
      <c r="L55" s="2218"/>
      <c r="M55" s="2218"/>
      <c r="N55" s="2218"/>
      <c r="O55" s="2218"/>
      <c r="P55" s="2218"/>
    </row>
    <row r="56" spans="1:16">
      <c r="A56" s="2218"/>
      <c r="B56" s="2218"/>
      <c r="C56" s="2218"/>
      <c r="D56" s="2218"/>
      <c r="E56" s="2218"/>
      <c r="F56" s="2218"/>
      <c r="G56" s="2218"/>
      <c r="H56" s="2218"/>
      <c r="I56" s="2218"/>
      <c r="J56" s="2218"/>
      <c r="K56" s="2218"/>
      <c r="L56" s="2218"/>
      <c r="M56" s="2218"/>
      <c r="N56" s="2218"/>
      <c r="O56" s="2218"/>
      <c r="P56" s="2218"/>
    </row>
    <row r="57" spans="1:16">
      <c r="A57" s="2218"/>
      <c r="B57" s="2218"/>
      <c r="C57" s="2218"/>
      <c r="D57" s="2218"/>
      <c r="E57" s="2218"/>
      <c r="F57" s="2218"/>
      <c r="G57" s="2218"/>
      <c r="H57" s="2218"/>
      <c r="I57" s="2218"/>
      <c r="J57" s="2218"/>
      <c r="K57" s="2218"/>
      <c r="L57" s="2218"/>
      <c r="M57" s="2218"/>
      <c r="N57" s="2218"/>
      <c r="O57" s="2218"/>
      <c r="P57" s="2218"/>
    </row>
    <row r="58" spans="1:16">
      <c r="A58" s="2218"/>
      <c r="B58" s="2218"/>
      <c r="C58" s="2218"/>
      <c r="D58" s="2218"/>
      <c r="E58" s="2218"/>
      <c r="F58" s="2218"/>
      <c r="G58" s="2218"/>
      <c r="H58" s="2218"/>
      <c r="I58" s="2218"/>
      <c r="J58" s="2218"/>
      <c r="K58" s="2218"/>
      <c r="L58" s="2218"/>
      <c r="M58" s="2218"/>
      <c r="N58" s="2218"/>
      <c r="O58" s="2218"/>
      <c r="P58" s="2218"/>
    </row>
    <row r="59" spans="1:16">
      <c r="A59" s="2218"/>
      <c r="B59" s="2218"/>
      <c r="C59" s="2218"/>
      <c r="D59" s="2218"/>
      <c r="E59" s="2218"/>
      <c r="F59" s="2218"/>
      <c r="G59" s="2218"/>
      <c r="H59" s="2218"/>
      <c r="I59" s="2218"/>
      <c r="J59" s="2218"/>
      <c r="K59" s="2218"/>
      <c r="L59" s="2218"/>
      <c r="M59" s="2218"/>
      <c r="N59" s="2218"/>
      <c r="O59" s="2218"/>
      <c r="P59" s="2218"/>
    </row>
    <row r="60" spans="1:16">
      <c r="A60" s="2218"/>
      <c r="B60" s="2218"/>
      <c r="C60" s="2218"/>
      <c r="D60" s="2218"/>
      <c r="E60" s="2218"/>
      <c r="F60" s="2218"/>
      <c r="G60" s="2218"/>
      <c r="H60" s="2218"/>
      <c r="I60" s="2218"/>
      <c r="J60" s="2218"/>
      <c r="K60" s="2218"/>
      <c r="L60" s="2218"/>
      <c r="M60" s="2218"/>
      <c r="N60" s="2218"/>
      <c r="O60" s="2218"/>
      <c r="P60" s="2218"/>
    </row>
    <row r="61" spans="1:16">
      <c r="A61" s="2218"/>
      <c r="B61" s="2218"/>
      <c r="C61" s="2218"/>
      <c r="D61" s="2218"/>
      <c r="E61" s="2218"/>
      <c r="F61" s="2218"/>
      <c r="G61" s="2218"/>
      <c r="H61" s="2218"/>
      <c r="I61" s="2218"/>
      <c r="J61" s="2218"/>
      <c r="K61" s="2218"/>
      <c r="L61" s="2218"/>
      <c r="M61" s="2218"/>
      <c r="N61" s="2218"/>
      <c r="O61" s="2218"/>
      <c r="P61" s="2218"/>
    </row>
    <row r="62" spans="1:16" ht="90" customHeight="1">
      <c r="A62" s="2218"/>
      <c r="B62" s="2218"/>
      <c r="C62" s="2218"/>
      <c r="D62" s="2218"/>
      <c r="E62" s="2218"/>
      <c r="F62" s="2218"/>
      <c r="G62" s="2218"/>
      <c r="H62" s="2218"/>
      <c r="I62" s="2218"/>
      <c r="J62" s="2218"/>
      <c r="K62" s="2218"/>
      <c r="L62" s="2218"/>
      <c r="M62" s="2218"/>
      <c r="N62" s="2218"/>
      <c r="O62" s="2218"/>
      <c r="P62" s="2218"/>
    </row>
    <row r="63" spans="1:16">
      <c r="A63" s="2218"/>
      <c r="B63" s="2218"/>
      <c r="C63" s="2218"/>
      <c r="D63" s="2218"/>
      <c r="E63" s="2218"/>
      <c r="F63" s="2218"/>
      <c r="G63" s="2218"/>
      <c r="H63" s="2218"/>
      <c r="I63" s="2218"/>
      <c r="J63" s="2218"/>
      <c r="K63" s="2218"/>
      <c r="L63" s="2218"/>
      <c r="M63" s="2218"/>
      <c r="N63" s="2218"/>
      <c r="O63" s="2218"/>
      <c r="P63" s="2218"/>
    </row>
    <row r="64" spans="1:16">
      <c r="A64" s="2218"/>
      <c r="B64" s="2218"/>
      <c r="C64" s="2218"/>
      <c r="D64" s="2218"/>
      <c r="E64" s="2218"/>
      <c r="F64" s="2218"/>
      <c r="G64" s="2218"/>
      <c r="H64" s="2218"/>
      <c r="I64" s="2218"/>
      <c r="J64" s="2218"/>
      <c r="K64" s="2218"/>
      <c r="L64" s="2218"/>
      <c r="M64" s="2218"/>
      <c r="N64" s="2218"/>
      <c r="O64" s="2218"/>
      <c r="P64" s="2218"/>
    </row>
    <row r="65" spans="1:16">
      <c r="A65" s="2218"/>
      <c r="B65" s="2218"/>
      <c r="C65" s="2218"/>
      <c r="D65" s="2218"/>
      <c r="E65" s="2218"/>
      <c r="F65" s="2218"/>
      <c r="G65" s="2218"/>
      <c r="H65" s="2218"/>
      <c r="I65" s="2218"/>
      <c r="J65" s="2218"/>
      <c r="K65" s="2218"/>
      <c r="L65" s="2218"/>
      <c r="M65" s="2218"/>
      <c r="N65" s="2218"/>
      <c r="O65" s="2218"/>
      <c r="P65" s="2218"/>
    </row>
    <row r="66" spans="1:16" ht="19.5" customHeight="1">
      <c r="A66" s="2218"/>
      <c r="B66" s="2218"/>
      <c r="C66" s="2218"/>
      <c r="D66" s="2218"/>
      <c r="E66" s="2218"/>
      <c r="F66" s="2218"/>
      <c r="G66" s="2218"/>
      <c r="H66" s="2218"/>
      <c r="I66" s="2218"/>
      <c r="J66" s="2218"/>
      <c r="K66" s="2218"/>
      <c r="L66" s="2218"/>
      <c r="M66" s="2218"/>
      <c r="N66" s="2218"/>
      <c r="O66" s="2218"/>
      <c r="P66" s="2218"/>
    </row>
    <row r="67" spans="1:16" ht="127.5" customHeight="1">
      <c r="A67" s="2218"/>
      <c r="B67" s="2218"/>
      <c r="C67" s="2218"/>
      <c r="D67" s="2218"/>
      <c r="E67" s="2218"/>
      <c r="F67" s="2218"/>
      <c r="G67" s="2218"/>
      <c r="H67" s="2218"/>
      <c r="I67" s="2218"/>
      <c r="J67" s="2218"/>
      <c r="K67" s="2218"/>
      <c r="L67" s="2218"/>
      <c r="M67" s="2218"/>
      <c r="N67" s="2218"/>
      <c r="O67" s="2218"/>
      <c r="P67" s="2218"/>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defaultColWidth="11.42578125" defaultRowHeight="14.25"/>
  <cols>
    <col min="1" max="6" width="11.42578125" style="307"/>
    <col min="7" max="7" width="13.42578125" style="307" customWidth="1"/>
    <col min="8" max="8" width="11.42578125" style="307"/>
    <col min="9" max="9" width="23.42578125" style="307" customWidth="1"/>
    <col min="10" max="10" width="24.42578125" style="307" customWidth="1"/>
    <col min="11" max="11" width="15.5703125" style="307" customWidth="1"/>
    <col min="12" max="12" width="13.140625" style="307" customWidth="1"/>
    <col min="13" max="13" width="20.140625" style="307" customWidth="1"/>
    <col min="14" max="16384" width="11.42578125" style="307"/>
  </cols>
  <sheetData>
    <row r="5" spans="1:28" ht="22.5" customHeight="1"/>
    <row r="6" spans="1:28">
      <c r="A6" s="2219" t="s">
        <v>755</v>
      </c>
      <c r="B6" s="2220"/>
      <c r="C6" s="2220"/>
      <c r="D6" s="2220"/>
      <c r="E6" s="2220"/>
      <c r="F6" s="2220"/>
      <c r="G6" s="2220"/>
      <c r="H6" s="2220"/>
      <c r="I6" s="2220"/>
      <c r="J6" s="2220"/>
      <c r="K6" s="2220"/>
      <c r="L6" s="2220"/>
      <c r="M6" s="2220"/>
    </row>
    <row r="7" spans="1:28" ht="14.25" customHeight="1">
      <c r="A7" s="2220"/>
      <c r="B7" s="2220"/>
      <c r="C7" s="2220"/>
      <c r="D7" s="2220"/>
      <c r="E7" s="2220"/>
      <c r="F7" s="2220"/>
      <c r="G7" s="2220"/>
      <c r="H7" s="2220"/>
      <c r="I7" s="2220"/>
      <c r="J7" s="2220"/>
      <c r="K7" s="2220"/>
      <c r="L7" s="2220"/>
      <c r="M7" s="2220"/>
      <c r="O7" s="706"/>
      <c r="P7" s="707"/>
      <c r="Q7" s="707"/>
      <c r="R7" s="707"/>
      <c r="S7" s="707"/>
      <c r="T7" s="707"/>
      <c r="U7" s="707"/>
      <c r="V7" s="707"/>
      <c r="W7" s="707"/>
      <c r="X7" s="707"/>
      <c r="Y7" s="707"/>
      <c r="Z7" s="707"/>
      <c r="AA7" s="707"/>
      <c r="AB7" s="707"/>
    </row>
    <row r="8" spans="1:28" ht="14.25" customHeight="1">
      <c r="A8" s="2220"/>
      <c r="B8" s="2220"/>
      <c r="C8" s="2220"/>
      <c r="D8" s="2220"/>
      <c r="E8" s="2220"/>
      <c r="F8" s="2220"/>
      <c r="G8" s="2220"/>
      <c r="H8" s="2220"/>
      <c r="I8" s="2220"/>
      <c r="J8" s="2220"/>
      <c r="K8" s="2220"/>
      <c r="L8" s="2220"/>
      <c r="M8" s="2220"/>
      <c r="O8" s="707"/>
      <c r="P8" s="707"/>
      <c r="Q8" s="707"/>
      <c r="R8" s="707"/>
      <c r="S8" s="707"/>
      <c r="T8" s="707"/>
      <c r="U8" s="707"/>
      <c r="V8" s="707"/>
      <c r="W8" s="707"/>
      <c r="X8" s="707"/>
      <c r="Y8" s="707"/>
      <c r="Z8" s="707"/>
      <c r="AA8" s="707"/>
      <c r="AB8" s="707"/>
    </row>
    <row r="9" spans="1:28" ht="14.25" customHeight="1">
      <c r="A9" s="2220"/>
      <c r="B9" s="2220"/>
      <c r="C9" s="2220"/>
      <c r="D9" s="2220"/>
      <c r="E9" s="2220"/>
      <c r="F9" s="2220"/>
      <c r="G9" s="2220"/>
      <c r="H9" s="2220"/>
      <c r="I9" s="2220"/>
      <c r="J9" s="2220"/>
      <c r="K9" s="2220"/>
      <c r="L9" s="2220"/>
      <c r="M9" s="2220"/>
      <c r="O9" s="707"/>
      <c r="P9" s="707"/>
      <c r="Q9" s="707"/>
      <c r="R9" s="707"/>
      <c r="S9" s="707"/>
      <c r="T9" s="707"/>
      <c r="U9" s="707"/>
      <c r="V9" s="707"/>
      <c r="W9" s="707"/>
      <c r="X9" s="707"/>
      <c r="Y9" s="707"/>
      <c r="Z9" s="707"/>
      <c r="AA9" s="707"/>
      <c r="AB9" s="707"/>
    </row>
    <row r="10" spans="1:28" ht="14.25" customHeight="1">
      <c r="A10" s="2220"/>
      <c r="B10" s="2220"/>
      <c r="C10" s="2220"/>
      <c r="D10" s="2220"/>
      <c r="E10" s="2220"/>
      <c r="F10" s="2220"/>
      <c r="G10" s="2220"/>
      <c r="H10" s="2220"/>
      <c r="I10" s="2220"/>
      <c r="J10" s="2220"/>
      <c r="K10" s="2220"/>
      <c r="L10" s="2220"/>
      <c r="M10" s="2220"/>
      <c r="O10" s="707"/>
      <c r="P10" s="707"/>
      <c r="Q10" s="707"/>
      <c r="R10" s="707"/>
      <c r="S10" s="707"/>
      <c r="T10" s="707"/>
      <c r="U10" s="707"/>
      <c r="V10" s="707"/>
      <c r="W10" s="707"/>
      <c r="X10" s="707"/>
      <c r="Y10" s="707"/>
      <c r="Z10" s="707"/>
      <c r="AA10" s="707"/>
      <c r="AB10" s="707"/>
    </row>
    <row r="11" spans="1:28" ht="14.25" customHeight="1">
      <c r="A11" s="2220"/>
      <c r="B11" s="2220"/>
      <c r="C11" s="2220"/>
      <c r="D11" s="2220"/>
      <c r="E11" s="2220"/>
      <c r="F11" s="2220"/>
      <c r="G11" s="2220"/>
      <c r="H11" s="2220"/>
      <c r="I11" s="2220"/>
      <c r="J11" s="2220"/>
      <c r="K11" s="2220"/>
      <c r="L11" s="2220"/>
      <c r="M11" s="2220"/>
      <c r="O11" s="707"/>
      <c r="P11" s="707"/>
      <c r="Q11" s="707"/>
      <c r="R11" s="707"/>
      <c r="S11" s="707"/>
      <c r="T11" s="707"/>
      <c r="U11" s="707"/>
      <c r="V11" s="707"/>
      <c r="W11" s="707"/>
      <c r="X11" s="707"/>
      <c r="Y11" s="707"/>
      <c r="Z11" s="707"/>
      <c r="AA11" s="707"/>
      <c r="AB11" s="707"/>
    </row>
    <row r="12" spans="1:28" ht="14.25" customHeight="1">
      <c r="A12" s="2220"/>
      <c r="B12" s="2220"/>
      <c r="C12" s="2220"/>
      <c r="D12" s="2220"/>
      <c r="E12" s="2220"/>
      <c r="F12" s="2220"/>
      <c r="G12" s="2220"/>
      <c r="H12" s="2220"/>
      <c r="I12" s="2220"/>
      <c r="J12" s="2220"/>
      <c r="K12" s="2220"/>
      <c r="L12" s="2220"/>
      <c r="M12" s="2220"/>
      <c r="O12" s="707"/>
      <c r="P12" s="707"/>
      <c r="Q12" s="707"/>
      <c r="R12" s="707"/>
      <c r="S12" s="707"/>
      <c r="T12" s="707"/>
      <c r="U12" s="707"/>
      <c r="V12" s="707"/>
      <c r="W12" s="707"/>
      <c r="X12" s="707"/>
      <c r="Y12" s="707"/>
      <c r="Z12" s="707"/>
      <c r="AA12" s="707"/>
      <c r="AB12" s="707"/>
    </row>
    <row r="13" spans="1:28" ht="14.25" customHeight="1">
      <c r="A13" s="2220"/>
      <c r="B13" s="2220"/>
      <c r="C13" s="2220"/>
      <c r="D13" s="2220"/>
      <c r="E13" s="2220"/>
      <c r="F13" s="2220"/>
      <c r="G13" s="2220"/>
      <c r="H13" s="2220"/>
      <c r="I13" s="2220"/>
      <c r="J13" s="2220"/>
      <c r="K13" s="2220"/>
      <c r="L13" s="2220"/>
      <c r="M13" s="2220"/>
      <c r="O13" s="707"/>
      <c r="P13" s="707"/>
      <c r="Q13" s="707"/>
      <c r="R13" s="707"/>
      <c r="S13" s="707"/>
      <c r="T13" s="707"/>
      <c r="U13" s="707"/>
      <c r="V13" s="707"/>
      <c r="W13" s="707"/>
      <c r="X13" s="707"/>
      <c r="Y13" s="707"/>
      <c r="Z13" s="707"/>
      <c r="AA13" s="707"/>
      <c r="AB13" s="707"/>
    </row>
    <row r="14" spans="1:28" ht="14.25" customHeight="1">
      <c r="A14" s="2220"/>
      <c r="B14" s="2220"/>
      <c r="C14" s="2220"/>
      <c r="D14" s="2220"/>
      <c r="E14" s="2220"/>
      <c r="F14" s="2220"/>
      <c r="G14" s="2220"/>
      <c r="H14" s="2220"/>
      <c r="I14" s="2220"/>
      <c r="J14" s="2220"/>
      <c r="K14" s="2220"/>
      <c r="L14" s="2220"/>
      <c r="M14" s="2220"/>
      <c r="O14" s="707"/>
      <c r="P14" s="707"/>
      <c r="Q14" s="707"/>
      <c r="R14" s="707"/>
      <c r="S14" s="707"/>
      <c r="T14" s="707"/>
      <c r="U14" s="707"/>
      <c r="V14" s="707"/>
      <c r="W14" s="707"/>
      <c r="X14" s="707"/>
      <c r="Y14" s="707"/>
      <c r="Z14" s="707"/>
      <c r="AA14" s="707"/>
      <c r="AB14" s="707"/>
    </row>
    <row r="15" spans="1:28" ht="14.25" customHeight="1">
      <c r="A15" s="2220"/>
      <c r="B15" s="2220"/>
      <c r="C15" s="2220"/>
      <c r="D15" s="2220"/>
      <c r="E15" s="2220"/>
      <c r="F15" s="2220"/>
      <c r="G15" s="2220"/>
      <c r="H15" s="2220"/>
      <c r="I15" s="2220"/>
      <c r="J15" s="2220"/>
      <c r="K15" s="2220"/>
      <c r="L15" s="2220"/>
      <c r="M15" s="2220"/>
      <c r="O15" s="707"/>
      <c r="P15" s="707"/>
      <c r="Q15" s="707"/>
      <c r="R15" s="707"/>
      <c r="S15" s="707"/>
      <c r="T15" s="707"/>
      <c r="U15" s="707"/>
      <c r="V15" s="707"/>
      <c r="W15" s="707"/>
      <c r="X15" s="707"/>
      <c r="Y15" s="707"/>
      <c r="Z15" s="707"/>
      <c r="AA15" s="707"/>
      <c r="AB15" s="707"/>
    </row>
    <row r="16" spans="1:28" ht="14.25" customHeight="1">
      <c r="A16" s="2220"/>
      <c r="B16" s="2220"/>
      <c r="C16" s="2220"/>
      <c r="D16" s="2220"/>
      <c r="E16" s="2220"/>
      <c r="F16" s="2220"/>
      <c r="G16" s="2220"/>
      <c r="H16" s="2220"/>
      <c r="I16" s="2220"/>
      <c r="J16" s="2220"/>
      <c r="K16" s="2220"/>
      <c r="L16" s="2220"/>
      <c r="M16" s="2220"/>
      <c r="O16" s="707"/>
      <c r="P16" s="707"/>
      <c r="Q16" s="707"/>
      <c r="R16" s="707"/>
      <c r="S16" s="707"/>
      <c r="T16" s="707"/>
      <c r="U16" s="707"/>
      <c r="V16" s="707"/>
      <c r="W16" s="707"/>
      <c r="X16" s="707"/>
      <c r="Y16" s="707"/>
      <c r="Z16" s="707"/>
      <c r="AA16" s="707"/>
      <c r="AB16" s="707"/>
    </row>
    <row r="17" spans="1:28" ht="14.25" customHeight="1">
      <c r="A17" s="2220"/>
      <c r="B17" s="2220"/>
      <c r="C17" s="2220"/>
      <c r="D17" s="2220"/>
      <c r="E17" s="2220"/>
      <c r="F17" s="2220"/>
      <c r="G17" s="2220"/>
      <c r="H17" s="2220"/>
      <c r="I17" s="2220"/>
      <c r="J17" s="2220"/>
      <c r="K17" s="2220"/>
      <c r="L17" s="2220"/>
      <c r="M17" s="2220"/>
      <c r="O17" s="707"/>
      <c r="P17" s="707"/>
      <c r="Q17" s="707"/>
      <c r="R17" s="707"/>
      <c r="S17" s="707"/>
      <c r="T17" s="707"/>
      <c r="U17" s="707"/>
      <c r="V17" s="707"/>
      <c r="W17" s="707"/>
      <c r="X17" s="707"/>
      <c r="Y17" s="707"/>
      <c r="Z17" s="707"/>
      <c r="AA17" s="707"/>
      <c r="AB17" s="707"/>
    </row>
    <row r="18" spans="1:28" ht="14.25" customHeight="1">
      <c r="A18" s="2220"/>
      <c r="B18" s="2220"/>
      <c r="C18" s="2220"/>
      <c r="D18" s="2220"/>
      <c r="E18" s="2220"/>
      <c r="F18" s="2220"/>
      <c r="G18" s="2220"/>
      <c r="H18" s="2220"/>
      <c r="I18" s="2220"/>
      <c r="J18" s="2220"/>
      <c r="K18" s="2220"/>
      <c r="L18" s="2220"/>
      <c r="M18" s="2220"/>
      <c r="O18" s="707"/>
      <c r="P18" s="707"/>
      <c r="Q18" s="707"/>
      <c r="R18" s="707"/>
      <c r="S18" s="707"/>
      <c r="T18" s="707"/>
      <c r="U18" s="707"/>
      <c r="V18" s="707"/>
      <c r="W18" s="707"/>
      <c r="X18" s="707"/>
      <c r="Y18" s="707"/>
      <c r="Z18" s="707"/>
      <c r="AA18" s="707"/>
      <c r="AB18" s="707"/>
    </row>
    <row r="19" spans="1:28" ht="14.25" customHeight="1">
      <c r="A19" s="2220"/>
      <c r="B19" s="2220"/>
      <c r="C19" s="2220"/>
      <c r="D19" s="2220"/>
      <c r="E19" s="2220"/>
      <c r="F19" s="2220"/>
      <c r="G19" s="2220"/>
      <c r="H19" s="2220"/>
      <c r="I19" s="2220"/>
      <c r="J19" s="2220"/>
      <c r="K19" s="2220"/>
      <c r="L19" s="2220"/>
      <c r="M19" s="2220"/>
      <c r="O19" s="707"/>
      <c r="P19" s="707"/>
      <c r="Q19" s="707"/>
      <c r="R19" s="707"/>
      <c r="S19" s="707"/>
      <c r="T19" s="707"/>
      <c r="U19" s="707"/>
      <c r="V19" s="707"/>
      <c r="W19" s="707"/>
      <c r="X19" s="707"/>
      <c r="Y19" s="707"/>
      <c r="Z19" s="707"/>
      <c r="AA19" s="707"/>
      <c r="AB19" s="707"/>
    </row>
    <row r="20" spans="1:28" ht="14.25" customHeight="1">
      <c r="A20" s="2220"/>
      <c r="B20" s="2220"/>
      <c r="C20" s="2220"/>
      <c r="D20" s="2220"/>
      <c r="E20" s="2220"/>
      <c r="F20" s="2220"/>
      <c r="G20" s="2220"/>
      <c r="H20" s="2220"/>
      <c r="I20" s="2220"/>
      <c r="J20" s="2220"/>
      <c r="K20" s="2220"/>
      <c r="L20" s="2220"/>
      <c r="M20" s="2220"/>
      <c r="O20" s="707"/>
      <c r="P20" s="707"/>
      <c r="Q20" s="707"/>
      <c r="R20" s="707"/>
      <c r="S20" s="707"/>
      <c r="T20" s="707"/>
      <c r="U20" s="707"/>
      <c r="V20" s="707"/>
      <c r="W20" s="707"/>
      <c r="X20" s="707"/>
      <c r="Y20" s="707"/>
      <c r="Z20" s="707"/>
      <c r="AA20" s="707"/>
      <c r="AB20" s="707"/>
    </row>
    <row r="21" spans="1:28" ht="14.25" customHeight="1">
      <c r="A21" s="2220"/>
      <c r="B21" s="2220"/>
      <c r="C21" s="2220"/>
      <c r="D21" s="2220"/>
      <c r="E21" s="2220"/>
      <c r="F21" s="2220"/>
      <c r="G21" s="2220"/>
      <c r="H21" s="2220"/>
      <c r="I21" s="2220"/>
      <c r="J21" s="2220"/>
      <c r="K21" s="2220"/>
      <c r="L21" s="2220"/>
      <c r="M21" s="2220"/>
      <c r="O21" s="707"/>
      <c r="P21" s="707"/>
      <c r="Q21" s="707"/>
      <c r="R21" s="707"/>
      <c r="S21" s="707"/>
      <c r="T21" s="707"/>
      <c r="U21" s="707"/>
      <c r="V21" s="707"/>
      <c r="W21" s="707"/>
      <c r="X21" s="707"/>
      <c r="Y21" s="707"/>
      <c r="Z21" s="707"/>
      <c r="AA21" s="707"/>
      <c r="AB21" s="707"/>
    </row>
    <row r="22" spans="1:28" ht="14.25" customHeight="1">
      <c r="A22" s="2220"/>
      <c r="B22" s="2220"/>
      <c r="C22" s="2220"/>
      <c r="D22" s="2220"/>
      <c r="E22" s="2220"/>
      <c r="F22" s="2220"/>
      <c r="G22" s="2220"/>
      <c r="H22" s="2220"/>
      <c r="I22" s="2220"/>
      <c r="J22" s="2220"/>
      <c r="K22" s="2220"/>
      <c r="L22" s="2220"/>
      <c r="M22" s="2220"/>
      <c r="O22" s="707"/>
      <c r="P22" s="707"/>
      <c r="Q22" s="707"/>
      <c r="R22" s="707"/>
      <c r="S22" s="707"/>
      <c r="T22" s="707"/>
      <c r="U22" s="707"/>
      <c r="V22" s="707"/>
      <c r="W22" s="707"/>
      <c r="X22" s="707"/>
      <c r="Y22" s="707"/>
      <c r="Z22" s="707"/>
      <c r="AA22" s="707"/>
      <c r="AB22" s="707"/>
    </row>
    <row r="23" spans="1:28" ht="14.25" customHeight="1">
      <c r="A23" s="2220"/>
      <c r="B23" s="2220"/>
      <c r="C23" s="2220"/>
      <c r="D23" s="2220"/>
      <c r="E23" s="2220"/>
      <c r="F23" s="2220"/>
      <c r="G23" s="2220"/>
      <c r="H23" s="2220"/>
      <c r="I23" s="2220"/>
      <c r="J23" s="2220"/>
      <c r="K23" s="2220"/>
      <c r="L23" s="2220"/>
      <c r="M23" s="2220"/>
      <c r="O23" s="707"/>
      <c r="P23" s="707"/>
      <c r="Q23" s="707"/>
      <c r="R23" s="707"/>
      <c r="S23" s="707"/>
      <c r="T23" s="707"/>
      <c r="U23" s="707"/>
      <c r="V23" s="707"/>
      <c r="W23" s="707"/>
      <c r="X23" s="707"/>
      <c r="Y23" s="707"/>
      <c r="Z23" s="707"/>
      <c r="AA23" s="707"/>
      <c r="AB23" s="707"/>
    </row>
    <row r="24" spans="1:28" ht="14.25" customHeight="1">
      <c r="A24" s="2220"/>
      <c r="B24" s="2220"/>
      <c r="C24" s="2220"/>
      <c r="D24" s="2220"/>
      <c r="E24" s="2220"/>
      <c r="F24" s="2220"/>
      <c r="G24" s="2220"/>
      <c r="H24" s="2220"/>
      <c r="I24" s="2220"/>
      <c r="J24" s="2220"/>
      <c r="K24" s="2220"/>
      <c r="L24" s="2220"/>
      <c r="M24" s="2220"/>
      <c r="O24" s="707"/>
      <c r="P24" s="707"/>
      <c r="Q24" s="707"/>
      <c r="R24" s="707"/>
      <c r="S24" s="707"/>
      <c r="T24" s="707"/>
      <c r="U24" s="707"/>
      <c r="V24" s="707"/>
      <c r="W24" s="707"/>
      <c r="X24" s="707"/>
      <c r="Y24" s="707"/>
      <c r="Z24" s="707"/>
      <c r="AA24" s="707"/>
      <c r="AB24" s="707"/>
    </row>
    <row r="25" spans="1:28" ht="14.25" customHeight="1">
      <c r="A25" s="2220"/>
      <c r="B25" s="2220"/>
      <c r="C25" s="2220"/>
      <c r="D25" s="2220"/>
      <c r="E25" s="2220"/>
      <c r="F25" s="2220"/>
      <c r="G25" s="2220"/>
      <c r="H25" s="2220"/>
      <c r="I25" s="2220"/>
      <c r="J25" s="2220"/>
      <c r="K25" s="2220"/>
      <c r="L25" s="2220"/>
      <c r="M25" s="2220"/>
      <c r="O25" s="707"/>
      <c r="P25" s="707"/>
      <c r="Q25" s="707"/>
      <c r="R25" s="707"/>
      <c r="S25" s="707"/>
      <c r="T25" s="707"/>
      <c r="U25" s="707"/>
      <c r="V25" s="707"/>
      <c r="W25" s="707"/>
      <c r="X25" s="707"/>
      <c r="Y25" s="707"/>
      <c r="Z25" s="707"/>
      <c r="AA25" s="707"/>
      <c r="AB25" s="707"/>
    </row>
    <row r="26" spans="1:28" ht="14.25" customHeight="1">
      <c r="A26" s="2220"/>
      <c r="B26" s="2220"/>
      <c r="C26" s="2220"/>
      <c r="D26" s="2220"/>
      <c r="E26" s="2220"/>
      <c r="F26" s="2220"/>
      <c r="G26" s="2220"/>
      <c r="H26" s="2220"/>
      <c r="I26" s="2220"/>
      <c r="J26" s="2220"/>
      <c r="K26" s="2220"/>
      <c r="L26" s="2220"/>
      <c r="M26" s="2220"/>
      <c r="O26" s="707"/>
      <c r="P26" s="707"/>
      <c r="Q26" s="707"/>
      <c r="R26" s="707"/>
      <c r="S26" s="707"/>
      <c r="T26" s="707"/>
      <c r="U26" s="707"/>
      <c r="V26" s="707"/>
      <c r="W26" s="707"/>
      <c r="X26" s="707"/>
      <c r="Y26" s="707"/>
      <c r="Z26" s="707"/>
      <c r="AA26" s="707"/>
      <c r="AB26" s="707"/>
    </row>
    <row r="27" spans="1:28" ht="14.25" customHeight="1">
      <c r="A27" s="2220"/>
      <c r="B27" s="2220"/>
      <c r="C27" s="2220"/>
      <c r="D27" s="2220"/>
      <c r="E27" s="2220"/>
      <c r="F27" s="2220"/>
      <c r="G27" s="2220"/>
      <c r="H27" s="2220"/>
      <c r="I27" s="2220"/>
      <c r="J27" s="2220"/>
      <c r="K27" s="2220"/>
      <c r="L27" s="2220"/>
      <c r="M27" s="2220"/>
      <c r="O27" s="707"/>
      <c r="P27" s="707"/>
      <c r="Q27" s="707"/>
      <c r="R27" s="707"/>
      <c r="S27" s="707"/>
      <c r="T27" s="707"/>
      <c r="U27" s="707"/>
      <c r="V27" s="707"/>
      <c r="W27" s="707"/>
      <c r="X27" s="707"/>
      <c r="Y27" s="707"/>
      <c r="Z27" s="707"/>
      <c r="AA27" s="707"/>
      <c r="AB27" s="707"/>
    </row>
    <row r="28" spans="1:28" ht="61.5" customHeight="1">
      <c r="A28" s="2220"/>
      <c r="B28" s="2220"/>
      <c r="C28" s="2220"/>
      <c r="D28" s="2220"/>
      <c r="E28" s="2220"/>
      <c r="F28" s="2220"/>
      <c r="G28" s="2220"/>
      <c r="H28" s="2220"/>
      <c r="I28" s="2220"/>
      <c r="J28" s="2220"/>
      <c r="K28" s="2220"/>
      <c r="L28" s="2220"/>
      <c r="M28" s="2220"/>
      <c r="O28" s="707"/>
      <c r="P28" s="707"/>
      <c r="Q28" s="707"/>
      <c r="R28" s="707"/>
      <c r="S28" s="707"/>
      <c r="T28" s="707"/>
      <c r="U28" s="707"/>
      <c r="V28" s="707"/>
      <c r="W28" s="707"/>
      <c r="X28" s="707"/>
      <c r="Y28" s="707"/>
      <c r="Z28" s="707"/>
      <c r="AA28" s="707"/>
      <c r="AB28" s="707"/>
    </row>
    <row r="29" spans="1:28" ht="61.5" customHeight="1">
      <c r="A29" s="2220"/>
      <c r="B29" s="2220"/>
      <c r="C29" s="2220"/>
      <c r="D29" s="2220"/>
      <c r="E29" s="2220"/>
      <c r="F29" s="2220"/>
      <c r="G29" s="2220"/>
      <c r="H29" s="2220"/>
      <c r="I29" s="2220"/>
      <c r="J29" s="2220"/>
      <c r="K29" s="2220"/>
      <c r="L29" s="2220"/>
      <c r="M29" s="2220"/>
      <c r="O29" s="707"/>
      <c r="P29" s="707"/>
      <c r="Q29" s="707"/>
      <c r="R29" s="707"/>
      <c r="S29" s="707"/>
      <c r="T29" s="707"/>
      <c r="U29" s="707"/>
      <c r="V29" s="707"/>
      <c r="W29" s="707"/>
      <c r="X29" s="707"/>
      <c r="Y29" s="707"/>
      <c r="Z29" s="707"/>
      <c r="AA29" s="707"/>
      <c r="AB29" s="707"/>
    </row>
    <row r="30" spans="1:28" ht="61.5" customHeight="1">
      <c r="A30" s="2220"/>
      <c r="B30" s="2220"/>
      <c r="C30" s="2220"/>
      <c r="D30" s="2220"/>
      <c r="E30" s="2220"/>
      <c r="F30" s="2220"/>
      <c r="G30" s="2220"/>
      <c r="H30" s="2220"/>
      <c r="I30" s="2220"/>
      <c r="J30" s="2220"/>
      <c r="K30" s="2220"/>
      <c r="L30" s="2220"/>
      <c r="M30" s="2220"/>
      <c r="O30" s="707"/>
      <c r="P30" s="707"/>
      <c r="Q30" s="707"/>
      <c r="R30" s="707"/>
      <c r="S30" s="707"/>
      <c r="T30" s="707"/>
      <c r="U30" s="707"/>
      <c r="V30" s="707"/>
      <c r="W30" s="707"/>
      <c r="X30" s="707"/>
      <c r="Y30" s="707"/>
      <c r="Z30" s="707"/>
      <c r="AA30" s="707"/>
      <c r="AB30" s="707"/>
    </row>
    <row r="31" spans="1:28" ht="61.5" customHeight="1">
      <c r="A31" s="2220"/>
      <c r="B31" s="2220"/>
      <c r="C31" s="2220"/>
      <c r="D31" s="2220"/>
      <c r="E31" s="2220"/>
      <c r="F31" s="2220"/>
      <c r="G31" s="2220"/>
      <c r="H31" s="2220"/>
      <c r="I31" s="2220"/>
      <c r="J31" s="2220"/>
      <c r="K31" s="2220"/>
      <c r="L31" s="2220"/>
      <c r="M31" s="2220"/>
      <c r="O31" s="707"/>
      <c r="P31" s="707"/>
      <c r="Q31" s="707"/>
      <c r="R31" s="707"/>
      <c r="S31" s="707"/>
      <c r="T31" s="707"/>
      <c r="U31" s="707"/>
      <c r="V31" s="707"/>
      <c r="W31" s="707"/>
      <c r="X31" s="707"/>
      <c r="Y31" s="707"/>
      <c r="Z31" s="707"/>
      <c r="AA31" s="707"/>
      <c r="AB31" s="707"/>
    </row>
    <row r="32" spans="1:28" ht="61.5" customHeight="1">
      <c r="A32" s="2220"/>
      <c r="B32" s="2220"/>
      <c r="C32" s="2220"/>
      <c r="D32" s="2220"/>
      <c r="E32" s="2220"/>
      <c r="F32" s="2220"/>
      <c r="G32" s="2220"/>
      <c r="H32" s="2220"/>
      <c r="I32" s="2220"/>
      <c r="J32" s="2220"/>
      <c r="K32" s="2220"/>
      <c r="L32" s="2220"/>
      <c r="M32" s="2220"/>
      <c r="O32" s="707"/>
      <c r="P32" s="707"/>
      <c r="Q32" s="707"/>
      <c r="R32" s="707"/>
      <c r="S32" s="707"/>
      <c r="T32" s="707"/>
      <c r="U32" s="707"/>
      <c r="V32" s="707"/>
      <c r="W32" s="707"/>
      <c r="X32" s="707"/>
      <c r="Y32" s="707"/>
      <c r="Z32" s="707"/>
      <c r="AA32" s="707"/>
      <c r="AB32" s="707"/>
    </row>
    <row r="33" spans="1:28" ht="61.5" customHeight="1">
      <c r="A33" s="2220"/>
      <c r="B33" s="2220"/>
      <c r="C33" s="2220"/>
      <c r="D33" s="2220"/>
      <c r="E33" s="2220"/>
      <c r="F33" s="2220"/>
      <c r="G33" s="2220"/>
      <c r="H33" s="2220"/>
      <c r="I33" s="2220"/>
      <c r="J33" s="2220"/>
      <c r="K33" s="2220"/>
      <c r="L33" s="2220"/>
      <c r="M33" s="2220"/>
      <c r="O33" s="707"/>
      <c r="P33" s="707"/>
      <c r="Q33" s="707"/>
      <c r="R33" s="707"/>
      <c r="S33" s="707"/>
      <c r="T33" s="707"/>
      <c r="U33" s="707"/>
      <c r="V33" s="707"/>
      <c r="W33" s="707"/>
      <c r="X33" s="707"/>
      <c r="Y33" s="707"/>
      <c r="Z33" s="707"/>
      <c r="AA33" s="707"/>
      <c r="AB33" s="707"/>
    </row>
    <row r="34" spans="1:28" ht="14.25" customHeight="1">
      <c r="A34" s="2220"/>
      <c r="B34" s="2220"/>
      <c r="C34" s="2220"/>
      <c r="D34" s="2220"/>
      <c r="E34" s="2220"/>
      <c r="F34" s="2220"/>
      <c r="G34" s="2220"/>
      <c r="H34" s="2220"/>
      <c r="I34" s="2220"/>
      <c r="J34" s="2220"/>
      <c r="K34" s="2220"/>
      <c r="L34" s="2220"/>
      <c r="M34" s="2220"/>
      <c r="O34" s="707"/>
      <c r="P34" s="707"/>
      <c r="Q34" s="707"/>
      <c r="R34" s="707"/>
      <c r="S34" s="707"/>
      <c r="T34" s="707"/>
      <c r="U34" s="707"/>
      <c r="V34" s="707"/>
      <c r="W34" s="707"/>
      <c r="X34" s="707"/>
      <c r="Y34" s="707"/>
      <c r="Z34" s="707"/>
      <c r="AA34" s="707"/>
      <c r="AB34" s="707"/>
    </row>
    <row r="35" spans="1:28" ht="14.25" customHeight="1">
      <c r="A35" s="2220"/>
      <c r="B35" s="2220"/>
      <c r="C35" s="2220"/>
      <c r="D35" s="2220"/>
      <c r="E35" s="2220"/>
      <c r="F35" s="2220"/>
      <c r="G35" s="2220"/>
      <c r="H35" s="2220"/>
      <c r="I35" s="2220"/>
      <c r="J35" s="2220"/>
      <c r="K35" s="2220"/>
      <c r="L35" s="2220"/>
      <c r="M35" s="2220"/>
      <c r="O35" s="707"/>
      <c r="P35" s="707"/>
      <c r="Q35" s="707"/>
      <c r="R35" s="707"/>
      <c r="S35" s="707"/>
      <c r="T35" s="707"/>
      <c r="U35" s="707"/>
      <c r="V35" s="707"/>
      <c r="W35" s="707"/>
      <c r="X35" s="707"/>
      <c r="Y35" s="707"/>
      <c r="Z35" s="707"/>
      <c r="AA35" s="707"/>
      <c r="AB35" s="707"/>
    </row>
    <row r="36" spans="1:28" ht="14.25" customHeight="1">
      <c r="O36" s="707"/>
      <c r="P36" s="707"/>
      <c r="Q36" s="707"/>
      <c r="R36" s="707"/>
      <c r="S36" s="707"/>
      <c r="T36" s="707"/>
      <c r="U36" s="707"/>
      <c r="V36" s="707"/>
      <c r="W36" s="707"/>
      <c r="X36" s="707"/>
      <c r="Y36" s="707"/>
      <c r="Z36" s="707"/>
      <c r="AA36" s="707"/>
      <c r="AB36" s="707"/>
    </row>
    <row r="37" spans="1:28" ht="14.25" customHeight="1">
      <c r="O37" s="707"/>
      <c r="P37" s="707"/>
      <c r="Q37" s="707"/>
      <c r="R37" s="707"/>
      <c r="S37" s="707"/>
      <c r="T37" s="707"/>
      <c r="U37" s="707"/>
      <c r="V37" s="707"/>
      <c r="W37" s="707"/>
      <c r="X37" s="707"/>
      <c r="Y37" s="707"/>
      <c r="Z37" s="707"/>
      <c r="AA37" s="707"/>
      <c r="AB37" s="707"/>
    </row>
    <row r="38" spans="1:28" ht="14.25" customHeight="1">
      <c r="O38" s="707"/>
      <c r="P38" s="707"/>
      <c r="Q38" s="707"/>
      <c r="R38" s="707"/>
      <c r="S38" s="707"/>
      <c r="T38" s="707"/>
      <c r="U38" s="707"/>
      <c r="V38" s="707"/>
      <c r="W38" s="707"/>
      <c r="X38" s="707"/>
      <c r="Y38" s="707"/>
      <c r="Z38" s="707"/>
      <c r="AA38" s="707"/>
      <c r="AB38" s="707"/>
    </row>
    <row r="39" spans="1:28" ht="14.25" customHeight="1">
      <c r="O39" s="707"/>
      <c r="P39" s="707"/>
      <c r="Q39" s="707"/>
      <c r="R39" s="707"/>
      <c r="S39" s="707"/>
      <c r="T39" s="707"/>
      <c r="U39" s="707"/>
      <c r="V39" s="707"/>
      <c r="W39" s="707"/>
      <c r="X39" s="707"/>
      <c r="Y39" s="707"/>
      <c r="Z39" s="707"/>
      <c r="AA39" s="707"/>
      <c r="AB39" s="707"/>
    </row>
    <row r="40" spans="1:28" ht="14.25" customHeight="1">
      <c r="O40" s="707"/>
      <c r="P40" s="707"/>
      <c r="Q40" s="707"/>
      <c r="R40" s="707"/>
      <c r="S40" s="707"/>
      <c r="T40" s="707"/>
      <c r="U40" s="707"/>
      <c r="V40" s="707"/>
      <c r="W40" s="707"/>
      <c r="X40" s="707"/>
      <c r="Y40" s="707"/>
      <c r="Z40" s="707"/>
      <c r="AA40" s="707"/>
      <c r="AB40" s="707"/>
    </row>
    <row r="41" spans="1:28" ht="14.25" customHeight="1">
      <c r="O41" s="707"/>
      <c r="P41" s="707"/>
      <c r="Q41" s="707"/>
      <c r="R41" s="707"/>
      <c r="S41" s="707"/>
      <c r="T41" s="707"/>
      <c r="U41" s="707"/>
      <c r="V41" s="707"/>
      <c r="W41" s="707"/>
      <c r="X41" s="707"/>
      <c r="Y41" s="707"/>
      <c r="Z41" s="707"/>
      <c r="AA41" s="707"/>
      <c r="AB41" s="707"/>
    </row>
    <row r="42" spans="1:28" ht="14.25" customHeight="1">
      <c r="O42" s="707"/>
      <c r="P42" s="707"/>
      <c r="Q42" s="707"/>
      <c r="R42" s="707"/>
      <c r="S42" s="707"/>
      <c r="T42" s="707"/>
      <c r="U42" s="707"/>
      <c r="V42" s="707"/>
      <c r="W42" s="707"/>
      <c r="X42" s="707"/>
      <c r="Y42" s="707"/>
      <c r="Z42" s="707"/>
      <c r="AA42" s="707"/>
      <c r="AB42" s="707"/>
    </row>
    <row r="43" spans="1:28" ht="14.25" customHeight="1">
      <c r="O43" s="707"/>
      <c r="P43" s="707"/>
      <c r="Q43" s="707"/>
      <c r="R43" s="707"/>
      <c r="S43" s="707"/>
      <c r="T43" s="707"/>
      <c r="U43" s="707"/>
      <c r="V43" s="707"/>
      <c r="W43" s="707"/>
      <c r="X43" s="707"/>
      <c r="Y43" s="707"/>
      <c r="Z43" s="707"/>
      <c r="AA43" s="707"/>
      <c r="AB43" s="707"/>
    </row>
    <row r="44" spans="1:28" ht="14.25" customHeight="1">
      <c r="O44" s="707"/>
      <c r="P44" s="707"/>
      <c r="Q44" s="707"/>
      <c r="R44" s="707"/>
      <c r="S44" s="707"/>
      <c r="T44" s="707"/>
      <c r="U44" s="707"/>
      <c r="V44" s="707"/>
      <c r="W44" s="707"/>
      <c r="X44" s="707"/>
      <c r="Y44" s="707"/>
      <c r="Z44" s="707"/>
      <c r="AA44" s="707"/>
      <c r="AB44" s="707"/>
    </row>
    <row r="45" spans="1:28" ht="14.25" customHeight="1">
      <c r="O45" s="707"/>
      <c r="P45" s="707"/>
      <c r="Q45" s="707"/>
      <c r="R45" s="707"/>
      <c r="S45" s="707"/>
      <c r="T45" s="707"/>
      <c r="U45" s="707"/>
      <c r="V45" s="707"/>
      <c r="W45" s="707"/>
      <c r="X45" s="707"/>
      <c r="Y45" s="707"/>
      <c r="Z45" s="707"/>
      <c r="AA45" s="707"/>
      <c r="AB45" s="707"/>
    </row>
    <row r="46" spans="1:28" ht="14.25" customHeight="1">
      <c r="O46" s="707"/>
      <c r="P46" s="707"/>
      <c r="Q46" s="707"/>
      <c r="R46" s="707"/>
      <c r="S46" s="707"/>
      <c r="T46" s="707"/>
      <c r="U46" s="707"/>
      <c r="V46" s="707"/>
      <c r="W46" s="707"/>
      <c r="X46" s="707"/>
      <c r="Y46" s="707"/>
      <c r="Z46" s="707"/>
      <c r="AA46" s="707"/>
      <c r="AB46" s="707"/>
    </row>
    <row r="47" spans="1:28" ht="14.25" customHeight="1">
      <c r="O47" s="707"/>
      <c r="P47" s="707"/>
      <c r="Q47" s="707"/>
      <c r="R47" s="707"/>
      <c r="S47" s="707"/>
      <c r="T47" s="707"/>
      <c r="U47" s="707"/>
      <c r="V47" s="707"/>
      <c r="W47" s="707"/>
      <c r="X47" s="707"/>
      <c r="Y47" s="707"/>
      <c r="Z47" s="707"/>
      <c r="AA47" s="707"/>
      <c r="AB47" s="707"/>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defaultColWidth="11.42578125" defaultRowHeight="14.25"/>
  <cols>
    <col min="1" max="6" width="11.42578125" style="307"/>
    <col min="7" max="7" width="8.85546875" style="307" customWidth="1"/>
    <col min="8" max="8" width="11.42578125" style="307"/>
    <col min="9" max="9" width="7.85546875" style="307" customWidth="1"/>
    <col min="10" max="10" width="7" style="307" customWidth="1"/>
    <col min="11" max="11" width="5.85546875" style="307" customWidth="1"/>
    <col min="12" max="16384" width="11.42578125" style="307"/>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8">
    <tabColor rgb="FF002060"/>
    <pageSetUpPr fitToPage="1"/>
  </sheetPr>
  <dimension ref="A4:R40"/>
  <sheetViews>
    <sheetView showGridLines="0" view="pageBreakPreview" zoomScale="70" zoomScaleNormal="100" zoomScaleSheetLayoutView="70" workbookViewId="0">
      <selection activeCell="A5" sqref="A5"/>
    </sheetView>
  </sheetViews>
  <sheetFormatPr defaultColWidth="11.42578125" defaultRowHeight="15"/>
  <cols>
    <col min="1" max="1" width="15.28515625" style="307" customWidth="1"/>
    <col min="2" max="2" width="15.5703125" style="307" customWidth="1"/>
    <col min="3" max="3" width="15.140625" style="307" customWidth="1"/>
    <col min="4" max="4" width="14.42578125" style="307" customWidth="1"/>
    <col min="5" max="5" width="11.42578125" style="307"/>
    <col min="6" max="6" width="32.7109375" style="307" customWidth="1"/>
    <col min="7" max="7" width="10.7109375" style="307" customWidth="1"/>
    <col min="8" max="8" width="15" style="307" customWidth="1"/>
    <col min="9" max="9" width="25.28515625" style="307" customWidth="1"/>
    <col min="10" max="10" width="19" style="307" customWidth="1"/>
    <col min="11" max="11" width="8.28515625" style="307" customWidth="1"/>
    <col min="12" max="12" width="13.140625" style="307" customWidth="1"/>
    <col min="13" max="13" width="6.85546875" style="376" customWidth="1"/>
    <col min="14" max="14" width="37.85546875" style="1101" customWidth="1"/>
    <col min="15" max="15" width="34.7109375" style="372" customWidth="1"/>
    <col min="16" max="16" width="27.42578125" style="1101" customWidth="1"/>
    <col min="17" max="17" width="30" style="372" customWidth="1"/>
    <col min="18" max="18" width="30.5703125" style="372" bestFit="1" customWidth="1"/>
    <col min="19" max="16384" width="11.42578125" style="307"/>
  </cols>
  <sheetData>
    <row r="4" spans="1:17" ht="49.5" customHeight="1"/>
    <row r="5" spans="1:17" ht="33" customHeight="1">
      <c r="A5" s="2224" t="s">
        <v>756</v>
      </c>
      <c r="B5" s="2224"/>
      <c r="C5" s="2224"/>
      <c r="D5" s="2224"/>
      <c r="E5" s="2224"/>
      <c r="F5" s="2224"/>
      <c r="G5" s="2224"/>
      <c r="H5" s="2224"/>
      <c r="I5" s="2224"/>
      <c r="J5" s="2224"/>
      <c r="K5" s="2224"/>
      <c r="L5" s="2224"/>
      <c r="O5" s="430"/>
    </row>
    <row r="6" spans="1:17" ht="29.25" customHeight="1">
      <c r="A6" s="2224"/>
      <c r="B6" s="2224"/>
      <c r="C6" s="2224"/>
      <c r="D6" s="2224"/>
      <c r="E6" s="2224"/>
      <c r="F6" s="2224"/>
      <c r="G6" s="2224"/>
      <c r="H6" s="2224"/>
      <c r="I6" s="2224"/>
      <c r="J6" s="2224"/>
      <c r="K6" s="2224"/>
      <c r="L6" s="2224"/>
      <c r="N6" s="2221" t="s">
        <v>757</v>
      </c>
      <c r="O6" s="2221"/>
    </row>
    <row r="7" spans="1:17" ht="31.5">
      <c r="A7" s="2224"/>
      <c r="B7" s="2224"/>
      <c r="C7" s="2224"/>
      <c r="D7" s="2224"/>
      <c r="E7" s="2224"/>
      <c r="F7" s="2224"/>
      <c r="G7" s="2224"/>
      <c r="H7" s="2224"/>
      <c r="I7" s="2224"/>
      <c r="J7" s="2224"/>
      <c r="K7" s="2224"/>
      <c r="L7" s="2224"/>
      <c r="N7" s="378" t="s">
        <v>758</v>
      </c>
      <c r="O7" s="378">
        <f>+O8+O9+O10+O11+O12</f>
        <v>1559126046816.9702</v>
      </c>
      <c r="P7" s="379"/>
    </row>
    <row r="8" spans="1:17" ht="15.75" customHeight="1">
      <c r="A8" s="2224"/>
      <c r="B8" s="2224"/>
      <c r="C8" s="2224"/>
      <c r="D8" s="2224"/>
      <c r="E8" s="2224"/>
      <c r="F8" s="2224"/>
      <c r="G8" s="2224"/>
      <c r="H8" s="2224"/>
      <c r="I8" s="2224"/>
      <c r="J8" s="2224"/>
      <c r="K8" s="2224"/>
      <c r="L8" s="2224"/>
      <c r="N8" s="380" t="s">
        <v>757</v>
      </c>
      <c r="O8" s="381">
        <f>+'IV.1.3. Ingr y egr SDSS'!B17</f>
        <v>1407309184788.53</v>
      </c>
      <c r="P8" s="382">
        <f>+O8/$O$7</f>
        <v>0.90262694774525676</v>
      </c>
      <c r="Q8" s="1102"/>
    </row>
    <row r="9" spans="1:17" ht="15.75" customHeight="1">
      <c r="A9" s="2224"/>
      <c r="B9" s="2224"/>
      <c r="C9" s="2224"/>
      <c r="D9" s="2224"/>
      <c r="E9" s="2224"/>
      <c r="F9" s="2224"/>
      <c r="G9" s="2224"/>
      <c r="H9" s="2224"/>
      <c r="I9" s="2224"/>
      <c r="J9" s="2224"/>
      <c r="K9" s="2224"/>
      <c r="L9" s="2224"/>
      <c r="N9" s="380" t="s">
        <v>759</v>
      </c>
      <c r="O9" s="381">
        <f>+'IV.1.3. Ingr y egr SDSS'!C17</f>
        <v>132074733074.23001</v>
      </c>
      <c r="P9" s="382">
        <f>+O9/$O$7</f>
        <v>8.4710747629331729E-2</v>
      </c>
    </row>
    <row r="10" spans="1:17" ht="15.75" customHeight="1">
      <c r="A10" s="2224"/>
      <c r="B10" s="2224"/>
      <c r="C10" s="2224"/>
      <c r="D10" s="2224"/>
      <c r="E10" s="2224"/>
      <c r="F10" s="2224"/>
      <c r="G10" s="2224"/>
      <c r="H10" s="2224"/>
      <c r="I10" s="2224"/>
      <c r="J10" s="2224"/>
      <c r="K10" s="2224"/>
      <c r="L10" s="2224"/>
      <c r="M10" s="377"/>
      <c r="N10" s="380" t="s">
        <v>760</v>
      </c>
      <c r="O10" s="384">
        <f>+'IV.1.3. Ingr y egr SDSS'!D17</f>
        <v>7431241814.3600006</v>
      </c>
      <c r="P10" s="385">
        <f>+O10/$O$7</f>
        <v>4.766286747329527E-3</v>
      </c>
      <c r="Q10" s="385">
        <f>+P10+P11+P12</f>
        <v>1.2662304625411458E-2</v>
      </c>
    </row>
    <row r="11" spans="1:17" ht="17.25" customHeight="1">
      <c r="A11" s="2224"/>
      <c r="B11" s="2224"/>
      <c r="C11" s="2224"/>
      <c r="D11" s="2224"/>
      <c r="E11" s="2224"/>
      <c r="F11" s="2224"/>
      <c r="G11" s="2224"/>
      <c r="H11" s="2224"/>
      <c r="I11" s="2224"/>
      <c r="J11" s="2224"/>
      <c r="K11" s="2224"/>
      <c r="L11" s="2224"/>
      <c r="M11" s="377"/>
      <c r="N11" s="380" t="s">
        <v>761</v>
      </c>
      <c r="O11" s="384">
        <f>+'IV.1.3. Ingr y egr SDSS'!E17</f>
        <v>0</v>
      </c>
      <c r="P11" s="385">
        <f>+O11/$O$7</f>
        <v>0</v>
      </c>
      <c r="Q11" s="1103"/>
    </row>
    <row r="12" spans="1:17" ht="15.75" customHeight="1">
      <c r="A12" s="2224"/>
      <c r="B12" s="2224"/>
      <c r="C12" s="2224"/>
      <c r="D12" s="2224"/>
      <c r="E12" s="2224"/>
      <c r="F12" s="2224"/>
      <c r="G12" s="2224"/>
      <c r="H12" s="2224"/>
      <c r="I12" s="2224"/>
      <c r="J12" s="2224"/>
      <c r="K12" s="2224"/>
      <c r="L12" s="2224"/>
      <c r="M12" s="383"/>
      <c r="N12" s="380" t="s">
        <v>762</v>
      </c>
      <c r="O12" s="384">
        <f>+'IV.1.3. Ingr y egr SDSS'!F17</f>
        <v>12310887139.85</v>
      </c>
      <c r="P12" s="385">
        <f>+O12/$O$7</f>
        <v>7.89601787808193E-3</v>
      </c>
      <c r="Q12" s="1103"/>
    </row>
    <row r="13" spans="1:17" ht="44.25" customHeight="1">
      <c r="A13" s="2224"/>
      <c r="B13" s="2224"/>
      <c r="C13" s="2224"/>
      <c r="D13" s="2224"/>
      <c r="E13" s="2224"/>
      <c r="F13" s="2224"/>
      <c r="G13" s="2224"/>
      <c r="H13" s="2224"/>
      <c r="I13" s="2224"/>
      <c r="J13" s="2224"/>
      <c r="K13" s="2224"/>
      <c r="L13" s="2224"/>
      <c r="M13" s="377"/>
      <c r="N13" s="1104"/>
      <c r="O13" s="378">
        <f>SUM(O10:O12)</f>
        <v>19742128954.209999</v>
      </c>
      <c r="P13" s="387">
        <f>SUM(P10:P12)</f>
        <v>1.2662304625411458E-2</v>
      </c>
    </row>
    <row r="14" spans="1:17" ht="29.25" customHeight="1">
      <c r="A14" s="2224"/>
      <c r="B14" s="2224"/>
      <c r="C14" s="2224"/>
      <c r="D14" s="2224"/>
      <c r="E14" s="2224"/>
      <c r="F14" s="2224"/>
      <c r="G14" s="2224"/>
      <c r="H14" s="2224"/>
      <c r="I14" s="2224"/>
      <c r="J14" s="2224"/>
      <c r="K14" s="2224"/>
      <c r="L14" s="2224"/>
      <c r="M14" s="383"/>
    </row>
    <row r="15" spans="1:17" ht="57" customHeight="1">
      <c r="A15" s="2224"/>
      <c r="B15" s="2224"/>
      <c r="C15" s="2224"/>
      <c r="D15" s="2224"/>
      <c r="E15" s="2224"/>
      <c r="F15" s="2224"/>
      <c r="G15" s="2224"/>
      <c r="H15" s="2224"/>
      <c r="I15" s="2224"/>
      <c r="J15" s="2224"/>
      <c r="K15" s="2224"/>
      <c r="L15" s="2224"/>
      <c r="M15" s="377"/>
    </row>
    <row r="16" spans="1:17" ht="18" customHeight="1">
      <c r="A16" s="2224"/>
      <c r="B16" s="2224"/>
      <c r="C16" s="2224"/>
      <c r="D16" s="2224"/>
      <c r="E16" s="2224"/>
      <c r="F16" s="2224"/>
      <c r="G16" s="2224"/>
      <c r="H16" s="2224"/>
      <c r="I16" s="2224"/>
      <c r="J16" s="2224"/>
      <c r="K16" s="2224"/>
      <c r="L16" s="2224"/>
      <c r="M16" s="386"/>
      <c r="N16" s="380" t="str">
        <f>+'IV.1.4. Recaudo x sector'!B4</f>
        <v>Sector  Público</v>
      </c>
      <c r="O16" s="381">
        <f>+'IV.1.4. Recaudo x sector'!B16</f>
        <v>531391087218.64996</v>
      </c>
      <c r="P16" s="382">
        <f>+O16/$O$18</f>
        <v>0.37752849513002018</v>
      </c>
    </row>
    <row r="17" spans="1:18" ht="15.75" customHeight="1">
      <c r="A17" s="2224"/>
      <c r="B17" s="2224"/>
      <c r="C17" s="2224"/>
      <c r="D17" s="2224"/>
      <c r="E17" s="2224"/>
      <c r="F17" s="2224"/>
      <c r="G17" s="2224"/>
      <c r="H17" s="2224"/>
      <c r="I17" s="2224"/>
      <c r="J17" s="2224"/>
      <c r="K17" s="2224"/>
      <c r="L17" s="2224"/>
      <c r="M17" s="386"/>
      <c r="N17" s="380" t="str">
        <f>+'IV.1.4. Recaudo x sector'!C4</f>
        <v>Sector Privado</v>
      </c>
      <c r="O17" s="381">
        <f>+'IV.1.4. Recaudo x sector'!C16</f>
        <v>876161174593.11011</v>
      </c>
      <c r="P17" s="382">
        <f>+O17/$O$18</f>
        <v>0.62247150486997982</v>
      </c>
    </row>
    <row r="18" spans="1:18" ht="15.75" customHeight="1">
      <c r="A18" s="2224"/>
      <c r="B18" s="2224"/>
      <c r="C18" s="2224"/>
      <c r="D18" s="2224"/>
      <c r="E18" s="2224"/>
      <c r="F18" s="2224"/>
      <c r="G18" s="2224"/>
      <c r="H18" s="2224"/>
      <c r="I18" s="2224"/>
      <c r="J18" s="2224"/>
      <c r="K18" s="2224"/>
      <c r="L18" s="2224"/>
      <c r="M18" s="388"/>
      <c r="O18" s="389">
        <f>SUM(O16:O17)</f>
        <v>1407552261811.76</v>
      </c>
      <c r="P18" s="382"/>
    </row>
    <row r="19" spans="1:18" ht="15.75" customHeight="1">
      <c r="A19" s="2224"/>
      <c r="B19" s="2224"/>
      <c r="C19" s="2224"/>
      <c r="D19" s="2224"/>
      <c r="E19" s="2224"/>
      <c r="F19" s="2224"/>
      <c r="G19" s="2224"/>
      <c r="H19" s="2224"/>
      <c r="I19" s="2224"/>
      <c r="J19" s="2224"/>
      <c r="K19" s="2224"/>
      <c r="L19" s="2224"/>
      <c r="M19" s="388"/>
    </row>
    <row r="20" spans="1:18" ht="30">
      <c r="A20" s="2224"/>
      <c r="B20" s="2224"/>
      <c r="C20" s="2224"/>
      <c r="D20" s="2224"/>
      <c r="E20" s="2224"/>
      <c r="F20" s="2224"/>
      <c r="G20" s="2224"/>
      <c r="H20" s="2224"/>
      <c r="I20" s="2224"/>
      <c r="J20" s="2224"/>
      <c r="K20" s="2224"/>
      <c r="L20" s="2224"/>
      <c r="M20" s="388"/>
      <c r="N20" s="390" t="str">
        <f>+'IV.1.5 Rec. x origen'!B4</f>
        <v>Trabajador Sector Público</v>
      </c>
      <c r="O20" s="390" t="str">
        <f>+'IV.1.5 Rec. x origen'!C4</f>
        <v>Trabajador Sector Privado</v>
      </c>
      <c r="P20" s="390" t="str">
        <f>+'IV.1.5 Rec. x origen'!D4</f>
        <v xml:space="preserve"> Empleador Sector Público</v>
      </c>
      <c r="Q20" s="390" t="str">
        <f>+'IV.1.5 Rec. x origen'!E4</f>
        <v>Empleador  Sector Privado</v>
      </c>
      <c r="R20" s="1105"/>
    </row>
    <row r="21" spans="1:18" ht="15.75" customHeight="1">
      <c r="A21" s="2224"/>
      <c r="B21" s="2224"/>
      <c r="C21" s="2224"/>
      <c r="D21" s="2224"/>
      <c r="E21" s="2224"/>
      <c r="F21" s="2224"/>
      <c r="G21" s="2224"/>
      <c r="H21" s="2224"/>
      <c r="I21" s="2224"/>
      <c r="J21" s="2224"/>
      <c r="K21" s="2224"/>
      <c r="L21" s="2224"/>
      <c r="M21" s="388"/>
      <c r="N21" s="392">
        <f>+'IV.1.5 Rec. x origen'!B22</f>
        <v>175877602053.15942</v>
      </c>
      <c r="O21" s="393">
        <f>+'IV.1.5 Rec. x origen'!C22</f>
        <v>299911641424.33893</v>
      </c>
      <c r="P21" s="393">
        <f>+'IV.1.5 Rec. x origen'!D22</f>
        <v>441236791115.82098</v>
      </c>
      <c r="Q21" s="393">
        <f>+'IV.1.5 Rec. x origen'!E22</f>
        <v>752409907432.99072</v>
      </c>
      <c r="R21" s="394">
        <f>SUM(N21:Q21)</f>
        <v>1669435942026.3101</v>
      </c>
    </row>
    <row r="22" spans="1:18" ht="15.75" customHeight="1">
      <c r="A22" s="2224"/>
      <c r="B22" s="2224"/>
      <c r="C22" s="2224"/>
      <c r="D22" s="2224"/>
      <c r="E22" s="2224"/>
      <c r="F22" s="2224"/>
      <c r="G22" s="2224"/>
      <c r="H22" s="2224"/>
      <c r="I22" s="2224"/>
      <c r="J22" s="2224"/>
      <c r="K22" s="2224"/>
      <c r="L22" s="2224"/>
      <c r="M22" s="388"/>
      <c r="N22" s="1106">
        <f>+N21/$R$21</f>
        <v>0.10535151282275892</v>
      </c>
      <c r="O22" s="1106">
        <f>+O21/$R$21</f>
        <v>0.17964848717724108</v>
      </c>
      <c r="P22" s="1106">
        <f>+P21/$R$21</f>
        <v>0.26430291813428991</v>
      </c>
      <c r="Q22" s="1106">
        <f>+Q21/$R$21</f>
        <v>0.45069708186571011</v>
      </c>
      <c r="R22" s="407"/>
    </row>
    <row r="23" spans="1:18" ht="15" customHeight="1">
      <c r="A23" s="2224"/>
      <c r="B23" s="2224"/>
      <c r="C23" s="2224"/>
      <c r="D23" s="2224"/>
      <c r="E23" s="2224"/>
      <c r="F23" s="2224"/>
      <c r="G23" s="2224"/>
      <c r="H23" s="2224"/>
      <c r="I23" s="2224"/>
      <c r="J23" s="2224"/>
      <c r="K23" s="2224"/>
      <c r="L23" s="2224"/>
      <c r="N23" s="2222">
        <f>+O22+N22</f>
        <v>0.28500000000000003</v>
      </c>
      <c r="O23" s="2223"/>
      <c r="P23" s="2222">
        <f>+Q22+P22</f>
        <v>0.71500000000000008</v>
      </c>
      <c r="Q23" s="2223"/>
      <c r="R23" s="407"/>
    </row>
    <row r="24" spans="1:18" ht="15" customHeight="1">
      <c r="A24" s="2224"/>
      <c r="B24" s="2224"/>
      <c r="C24" s="2224"/>
      <c r="D24" s="2224"/>
      <c r="E24" s="2224"/>
      <c r="F24" s="2224"/>
      <c r="G24" s="2224"/>
      <c r="H24" s="2224"/>
      <c r="I24" s="2224"/>
      <c r="J24" s="2224"/>
      <c r="K24" s="2224"/>
      <c r="L24" s="2224"/>
      <c r="N24" s="1107"/>
      <c r="O24" s="1107"/>
      <c r="P24" s="1107"/>
      <c r="Q24" s="1107"/>
      <c r="R24" s="407"/>
    </row>
    <row r="25" spans="1:18" ht="15" customHeight="1">
      <c r="A25" s="2224"/>
      <c r="B25" s="2224"/>
      <c r="C25" s="2224"/>
      <c r="D25" s="2224"/>
      <c r="E25" s="2224"/>
      <c r="F25" s="2224"/>
      <c r="G25" s="2224"/>
      <c r="H25" s="2224"/>
      <c r="I25" s="2224"/>
      <c r="J25" s="2224"/>
      <c r="K25" s="2224"/>
      <c r="L25" s="2224"/>
      <c r="M25" s="377"/>
      <c r="N25" s="1108" t="s">
        <v>422</v>
      </c>
      <c r="O25" s="1105"/>
      <c r="P25" s="1105"/>
      <c r="Q25" s="1105"/>
      <c r="R25" s="1105"/>
    </row>
    <row r="26" spans="1:18" ht="15" customHeight="1">
      <c r="A26" s="2224"/>
      <c r="B26" s="2224"/>
      <c r="C26" s="2224"/>
      <c r="D26" s="2224"/>
      <c r="E26" s="2224"/>
      <c r="F26" s="2224"/>
      <c r="G26" s="2224"/>
      <c r="H26" s="2224"/>
      <c r="I26" s="2224"/>
      <c r="J26" s="2224"/>
      <c r="K26" s="2224"/>
      <c r="L26" s="2224"/>
      <c r="M26" s="377"/>
      <c r="N26" s="1108" t="s">
        <v>763</v>
      </c>
      <c r="O26" s="381">
        <f>+'IV.1.3. Ingr y egr SDSS'!B16</f>
        <v>73460907707.009995</v>
      </c>
      <c r="P26" s="1105"/>
      <c r="Q26" s="1105"/>
      <c r="R26" s="1105"/>
    </row>
    <row r="27" spans="1:18" ht="15.75" customHeight="1">
      <c r="A27" s="2224"/>
      <c r="B27" s="2224"/>
      <c r="C27" s="2224"/>
      <c r="D27" s="2224"/>
      <c r="E27" s="2224"/>
      <c r="F27" s="2224"/>
      <c r="G27" s="2224"/>
      <c r="H27" s="2224"/>
      <c r="I27" s="2224"/>
      <c r="J27" s="2224"/>
      <c r="K27" s="2224"/>
      <c r="L27" s="2224"/>
      <c r="M27" s="388"/>
      <c r="N27" s="1108" t="s">
        <v>764</v>
      </c>
      <c r="O27" s="381">
        <f>+'IV.1.3. Ingr y egr SDSS'!H16</f>
        <v>72974992730.740005</v>
      </c>
      <c r="P27" s="1105"/>
      <c r="Q27" s="1105"/>
      <c r="R27" s="1105"/>
    </row>
    <row r="28" spans="1:18" ht="15.75" customHeight="1">
      <c r="A28" s="2224"/>
      <c r="B28" s="2224"/>
      <c r="C28" s="2224"/>
      <c r="D28" s="2224"/>
      <c r="E28" s="2224"/>
      <c r="F28" s="2224"/>
      <c r="G28" s="2224"/>
      <c r="H28" s="2224"/>
      <c r="I28" s="2224"/>
      <c r="J28" s="2224"/>
      <c r="K28" s="2224"/>
      <c r="L28" s="2224"/>
      <c r="M28" s="395"/>
      <c r="N28" s="1105"/>
      <c r="O28" s="1109">
        <f>SUM(O26:O27)</f>
        <v>146435900437.75</v>
      </c>
      <c r="P28" s="1105"/>
      <c r="Q28" s="1105"/>
      <c r="R28" s="1105"/>
    </row>
    <row r="29" spans="1:18" ht="15.75" customHeight="1">
      <c r="A29" s="2224"/>
      <c r="B29" s="2224"/>
      <c r="C29" s="2224"/>
      <c r="D29" s="2224"/>
      <c r="E29" s="2224"/>
      <c r="F29" s="2224"/>
      <c r="G29" s="2224"/>
      <c r="H29" s="2224"/>
      <c r="I29" s="2224"/>
      <c r="J29" s="2224"/>
      <c r="K29" s="2224"/>
      <c r="L29" s="2224"/>
      <c r="M29" s="396"/>
      <c r="N29" s="1105"/>
      <c r="O29" s="1109"/>
      <c r="P29" s="1105"/>
      <c r="Q29" s="1105"/>
      <c r="R29" s="1105"/>
    </row>
    <row r="30" spans="1:18" ht="15.75" customHeight="1">
      <c r="A30" s="2224"/>
      <c r="B30" s="2224"/>
      <c r="C30" s="2224"/>
      <c r="D30" s="2224"/>
      <c r="E30" s="2224"/>
      <c r="F30" s="2224"/>
      <c r="G30" s="2224"/>
      <c r="H30" s="2224"/>
      <c r="I30" s="2224"/>
      <c r="J30" s="2224"/>
      <c r="K30" s="2224"/>
      <c r="L30" s="2224"/>
      <c r="M30" s="396"/>
      <c r="N30" s="1105"/>
      <c r="O30" s="1109"/>
      <c r="P30" s="1105"/>
      <c r="Q30" s="1105"/>
      <c r="R30" s="1105"/>
    </row>
    <row r="31" spans="1:18" ht="50.25" customHeight="1">
      <c r="A31" s="2224"/>
      <c r="B31" s="2224"/>
      <c r="C31" s="2224"/>
      <c r="D31" s="2224"/>
      <c r="E31" s="2224"/>
      <c r="F31" s="2224"/>
      <c r="G31" s="2224"/>
      <c r="H31" s="2224"/>
      <c r="I31" s="2224"/>
      <c r="J31" s="2224"/>
      <c r="K31" s="2224"/>
      <c r="L31" s="2224"/>
      <c r="M31" s="396"/>
      <c r="N31" s="1108" t="s">
        <v>423</v>
      </c>
      <c r="O31" s="1110"/>
      <c r="P31" s="1105"/>
      <c r="Q31" s="1105"/>
      <c r="R31" s="1105"/>
    </row>
    <row r="32" spans="1:18">
      <c r="A32" s="2224"/>
      <c r="B32" s="2224"/>
      <c r="C32" s="2224"/>
      <c r="D32" s="2224"/>
      <c r="E32" s="2224"/>
      <c r="F32" s="2224"/>
      <c r="G32" s="2224"/>
      <c r="H32" s="2224"/>
      <c r="I32" s="2224"/>
      <c r="J32" s="2224"/>
      <c r="K32" s="2224"/>
      <c r="L32" s="2224"/>
      <c r="N32" s="1108" t="s">
        <v>763</v>
      </c>
      <c r="O32" s="381">
        <f>+'IV.1.3. Ingr y egr SDSS'!G16</f>
        <v>80362423573.089981</v>
      </c>
      <c r="P32" s="1105"/>
    </row>
    <row r="33" spans="1:16">
      <c r="A33" s="2224"/>
      <c r="B33" s="2224"/>
      <c r="C33" s="2224"/>
      <c r="D33" s="2224"/>
      <c r="E33" s="2224"/>
      <c r="F33" s="2224"/>
      <c r="G33" s="2224"/>
      <c r="H33" s="2224"/>
      <c r="I33" s="2224"/>
      <c r="J33" s="2224"/>
      <c r="K33" s="2224"/>
      <c r="L33" s="2224"/>
      <c r="N33" s="1108" t="s">
        <v>764</v>
      </c>
      <c r="O33" s="381">
        <f>+'IV.1.3. Ingr y egr SDSS'!K16</f>
        <v>81394592464.440002</v>
      </c>
      <c r="P33" s="1105"/>
    </row>
    <row r="34" spans="1:16">
      <c r="A34" s="2224"/>
      <c r="B34" s="2224"/>
      <c r="C34" s="2224"/>
      <c r="D34" s="2224"/>
      <c r="E34" s="2224"/>
      <c r="F34" s="2224"/>
      <c r="G34" s="2224"/>
      <c r="H34" s="2224"/>
      <c r="I34" s="2224"/>
      <c r="J34" s="2224"/>
      <c r="K34" s="2224"/>
      <c r="L34" s="2224"/>
    </row>
    <row r="35" spans="1:16">
      <c r="A35" s="2224"/>
      <c r="B35" s="2224"/>
      <c r="C35" s="2224"/>
      <c r="D35" s="2224"/>
      <c r="E35" s="2224"/>
      <c r="F35" s="2224"/>
      <c r="G35" s="2224"/>
      <c r="H35" s="2224"/>
      <c r="I35" s="2224"/>
      <c r="J35" s="2224"/>
      <c r="K35" s="2224"/>
      <c r="L35" s="2224"/>
    </row>
    <row r="36" spans="1:16">
      <c r="A36" s="2224"/>
      <c r="B36" s="2224"/>
      <c r="C36" s="2224"/>
      <c r="D36" s="2224"/>
      <c r="E36" s="2224"/>
      <c r="F36" s="2224"/>
      <c r="G36" s="2224"/>
      <c r="H36" s="2224"/>
      <c r="I36" s="2224"/>
      <c r="J36" s="2224"/>
      <c r="K36" s="2224"/>
      <c r="L36" s="2224"/>
    </row>
    <row r="37" spans="1:16">
      <c r="A37" s="2224"/>
      <c r="B37" s="2224"/>
      <c r="C37" s="2224"/>
      <c r="D37" s="2224"/>
      <c r="E37" s="2224"/>
      <c r="F37" s="2224"/>
      <c r="G37" s="2224"/>
      <c r="H37" s="2224"/>
      <c r="I37" s="2224"/>
      <c r="J37" s="2224"/>
      <c r="K37" s="2224"/>
      <c r="L37" s="2224"/>
    </row>
    <row r="38" spans="1:16">
      <c r="A38" s="2224"/>
      <c r="B38" s="2224"/>
      <c r="C38" s="2224"/>
      <c r="D38" s="2224"/>
      <c r="E38" s="2224"/>
      <c r="F38" s="2224"/>
      <c r="G38" s="2224"/>
      <c r="H38" s="2224"/>
      <c r="I38" s="2224"/>
      <c r="J38" s="2224"/>
      <c r="K38" s="2224"/>
      <c r="L38" s="2224"/>
    </row>
    <row r="39" spans="1:16" ht="33" customHeight="1">
      <c r="A39" s="2224"/>
      <c r="B39" s="2224"/>
      <c r="C39" s="2224"/>
      <c r="D39" s="2224"/>
      <c r="E39" s="2224"/>
      <c r="F39" s="2224"/>
      <c r="G39" s="2224"/>
      <c r="H39" s="2224"/>
      <c r="I39" s="2224"/>
      <c r="J39" s="2224"/>
      <c r="K39" s="2224"/>
      <c r="L39" s="2224"/>
    </row>
    <row r="40" spans="1:16">
      <c r="A40" s="2224"/>
      <c r="B40" s="2224"/>
      <c r="C40" s="2224"/>
      <c r="D40" s="2224"/>
      <c r="E40" s="2224"/>
      <c r="F40" s="2224"/>
      <c r="G40" s="2224"/>
      <c r="H40" s="2224"/>
      <c r="I40" s="2224"/>
      <c r="J40" s="2224"/>
      <c r="K40" s="2224"/>
      <c r="L40" s="2224"/>
    </row>
  </sheetData>
  <mergeCells count="4">
    <mergeCell ref="N6:O6"/>
    <mergeCell ref="N23:O23"/>
    <mergeCell ref="P23:Q23"/>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3300"/>
    <pageSetUpPr fitToPage="1"/>
  </sheetPr>
  <dimension ref="A1:Z116"/>
  <sheetViews>
    <sheetView showGridLines="0" view="pageBreakPreview" zoomScale="40" zoomScaleNormal="100" zoomScaleSheetLayoutView="40" workbookViewId="0">
      <pane ySplit="1" topLeftCell="A2" activePane="bottomLeft" state="frozen"/>
      <selection pane="bottomLeft" activeCell="I74" sqref="I74"/>
      <selection activeCell="I23" sqref="I23"/>
    </sheetView>
  </sheetViews>
  <sheetFormatPr defaultColWidth="26.7109375" defaultRowHeight="31.5"/>
  <cols>
    <col min="1" max="1" width="76.42578125" style="186" customWidth="1"/>
    <col min="2" max="2" width="49.42578125" style="186" bestFit="1" customWidth="1"/>
    <col min="3" max="3" width="75.5703125" style="188" customWidth="1"/>
    <col min="4" max="4" width="78" style="186" customWidth="1"/>
    <col min="5" max="5" width="61.140625" style="186" customWidth="1"/>
    <col min="6" max="6" width="59.85546875" style="187" customWidth="1"/>
    <col min="7" max="7" width="67.28515625" style="187" bestFit="1" customWidth="1"/>
    <col min="8" max="8" width="55.85546875" style="187" customWidth="1"/>
    <col min="9" max="9" width="42.7109375" style="186" bestFit="1" customWidth="1"/>
    <col min="10" max="10" width="48.140625" style="187" customWidth="1"/>
    <col min="11" max="11" width="50.42578125" style="187" customWidth="1"/>
    <col min="12" max="12" width="93.28515625" style="187" customWidth="1"/>
    <col min="13" max="13" width="82.42578125" style="187" bestFit="1" customWidth="1"/>
    <col min="14" max="14" width="24" style="187" customWidth="1"/>
    <col min="15" max="15" width="138.42578125" style="189" customWidth="1"/>
    <col min="16" max="16" width="40.85546875" style="189" customWidth="1"/>
    <col min="17" max="16384" width="26.7109375" style="185"/>
  </cols>
  <sheetData>
    <row r="1" spans="1:26" ht="135.75" customHeight="1">
      <c r="A1" s="2240" t="s">
        <v>765</v>
      </c>
      <c r="B1" s="2241"/>
      <c r="C1" s="2241"/>
      <c r="D1" s="2241"/>
      <c r="E1" s="2241"/>
      <c r="F1" s="2241"/>
      <c r="G1" s="2241"/>
      <c r="H1" s="2241"/>
      <c r="I1" s="2241"/>
      <c r="J1" s="2241"/>
      <c r="K1" s="2241"/>
      <c r="L1" s="2241"/>
      <c r="M1" s="2241"/>
      <c r="N1" s="2241"/>
      <c r="O1" s="1384" t="s">
        <v>766</v>
      </c>
      <c r="P1" s="1386"/>
    </row>
    <row r="2" spans="1:26" ht="35.25" customHeight="1">
      <c r="B2" s="187"/>
      <c r="O2" s="1552" t="s">
        <v>767</v>
      </c>
      <c r="P2" s="1386"/>
    </row>
    <row r="3" spans="1:26" ht="35.25" customHeight="1">
      <c r="B3" s="187"/>
      <c r="C3" s="1330" t="s">
        <v>768</v>
      </c>
      <c r="D3" s="1330" t="s">
        <v>272</v>
      </c>
      <c r="O3" s="1553" t="s">
        <v>769</v>
      </c>
      <c r="P3" s="1387"/>
    </row>
    <row r="4" spans="1:26" s="190" customFormat="1" ht="41.25" customHeight="1">
      <c r="A4" s="1332" t="s">
        <v>770</v>
      </c>
      <c r="B4" s="1338">
        <v>10864502</v>
      </c>
      <c r="C4" s="1171">
        <f>+(B30+B33+B39)/B4</f>
        <v>1.0766807351133076E-2</v>
      </c>
      <c r="D4" s="1172">
        <f>+(C30+C39+B33)/B4</f>
        <v>0.97238069448558251</v>
      </c>
      <c r="E4" s="188"/>
      <c r="I4" s="186"/>
      <c r="K4" s="192"/>
      <c r="L4" s="187"/>
      <c r="M4" s="188"/>
      <c r="N4" s="188"/>
      <c r="O4" s="1553" t="s">
        <v>771</v>
      </c>
      <c r="P4" s="1386"/>
    </row>
    <row r="5" spans="1:26" s="191" customFormat="1" ht="47.25" customHeight="1">
      <c r="A5" s="187"/>
      <c r="B5" s="187"/>
      <c r="C5" s="187"/>
      <c r="D5" s="187"/>
      <c r="E5" s="187"/>
      <c r="I5" s="186"/>
      <c r="L5" s="187"/>
      <c r="M5" s="187"/>
      <c r="N5" s="187"/>
      <c r="O5" s="1555" t="s">
        <v>595</v>
      </c>
      <c r="P5" s="1388" t="s">
        <v>772</v>
      </c>
    </row>
    <row r="6" spans="1:26" s="191" customFormat="1" ht="41.25" customHeight="1">
      <c r="A6" s="2242" t="s">
        <v>773</v>
      </c>
      <c r="B6" s="1332" t="s">
        <v>774</v>
      </c>
      <c r="C6" s="1332" t="s">
        <v>775</v>
      </c>
      <c r="D6" s="1332" t="s">
        <v>235</v>
      </c>
      <c r="E6" s="187"/>
      <c r="M6" s="187"/>
      <c r="N6" s="187"/>
      <c r="O6" s="1555" t="s">
        <v>776</v>
      </c>
      <c r="P6" s="1388" t="s">
        <v>562</v>
      </c>
    </row>
    <row r="7" spans="1:26" s="191" customFormat="1" ht="32.25" customHeight="1">
      <c r="A7" s="2243"/>
      <c r="B7" s="159">
        <v>16603</v>
      </c>
      <c r="C7" s="159">
        <v>146</v>
      </c>
      <c r="D7" s="1828">
        <f>+B7+C7</f>
        <v>16749</v>
      </c>
      <c r="E7" s="187"/>
      <c r="M7" s="187"/>
      <c r="N7" s="187"/>
      <c r="O7" s="1553" t="s">
        <v>777</v>
      </c>
      <c r="P7" s="1386"/>
    </row>
    <row r="8" spans="1:26" s="191" customFormat="1" ht="33.75">
      <c r="A8" s="187"/>
      <c r="B8" s="188"/>
      <c r="C8" s="188"/>
      <c r="D8" s="187"/>
      <c r="E8" s="187"/>
      <c r="F8" s="187"/>
      <c r="M8" s="187"/>
      <c r="N8" s="192"/>
      <c r="O8" s="1555" t="s">
        <v>778</v>
      </c>
      <c r="P8" s="1389" t="s">
        <v>562</v>
      </c>
    </row>
    <row r="9" spans="1:26" s="191" customFormat="1" ht="51" customHeight="1">
      <c r="A9" s="2244" t="s">
        <v>779</v>
      </c>
      <c r="B9" s="2245"/>
      <c r="C9" s="2246" t="s">
        <v>780</v>
      </c>
      <c r="D9" s="2246"/>
      <c r="E9" s="2246" t="s">
        <v>781</v>
      </c>
      <c r="F9" s="2246"/>
      <c r="N9" s="192"/>
      <c r="O9" s="1555" t="s">
        <v>782</v>
      </c>
      <c r="P9" s="1385" t="s">
        <v>772</v>
      </c>
      <c r="Q9" s="186"/>
      <c r="R9" s="186"/>
    </row>
    <row r="10" spans="1:26" s="192" customFormat="1" ht="47.25" customHeight="1">
      <c r="A10" s="1424" t="s">
        <v>783</v>
      </c>
      <c r="B10" s="1425">
        <v>111636</v>
      </c>
      <c r="C10" s="1426" t="s">
        <v>783</v>
      </c>
      <c r="D10" s="1425">
        <v>1799175</v>
      </c>
      <c r="E10" s="1424" t="s">
        <v>784</v>
      </c>
      <c r="F10" s="1425">
        <f>+F50</f>
        <v>1356180</v>
      </c>
      <c r="G10" s="191"/>
      <c r="H10" s="2239" t="s">
        <v>785</v>
      </c>
      <c r="I10" s="2239"/>
      <c r="J10" s="2239"/>
      <c r="K10" s="2239"/>
      <c r="L10" s="2239"/>
      <c r="M10" s="2239"/>
      <c r="N10" s="186"/>
      <c r="O10" s="1554" t="s">
        <v>769</v>
      </c>
      <c r="P10" s="1385" t="s">
        <v>786</v>
      </c>
      <c r="Q10" s="1087"/>
      <c r="R10" s="1087"/>
      <c r="S10" s="1087"/>
      <c r="T10" s="1087"/>
      <c r="U10" s="1087"/>
      <c r="V10" s="1087"/>
    </row>
    <row r="11" spans="1:26" s="192" customFormat="1" ht="33.75">
      <c r="A11" s="1424" t="s">
        <v>787</v>
      </c>
      <c r="B11" s="1425">
        <v>580</v>
      </c>
      <c r="C11" s="1426" t="s">
        <v>787</v>
      </c>
      <c r="D11" s="1425">
        <v>353558</v>
      </c>
      <c r="E11" s="1424" t="s">
        <v>788</v>
      </c>
      <c r="F11" s="1425">
        <f>+G50</f>
        <v>1198773</v>
      </c>
      <c r="G11" s="191"/>
      <c r="H11" s="2248" t="s">
        <v>789</v>
      </c>
      <c r="I11" s="2248" t="s">
        <v>583</v>
      </c>
      <c r="J11" s="2248"/>
      <c r="K11" s="1413" t="s">
        <v>584</v>
      </c>
      <c r="L11" s="1413" t="s">
        <v>585</v>
      </c>
      <c r="M11" s="1413" t="s">
        <v>790</v>
      </c>
      <c r="O11" s="1554" t="s">
        <v>791</v>
      </c>
      <c r="P11" s="1385"/>
    </row>
    <row r="12" spans="1:26" s="192" customFormat="1" ht="63">
      <c r="A12" s="1424" t="s">
        <v>792</v>
      </c>
      <c r="B12" s="1425">
        <v>68</v>
      </c>
      <c r="C12" s="1426" t="s">
        <v>792</v>
      </c>
      <c r="D12" s="1425">
        <v>402220</v>
      </c>
      <c r="E12" s="1427"/>
      <c r="F12" s="1427"/>
      <c r="G12" s="173"/>
      <c r="H12" s="2248"/>
      <c r="I12" s="1413" t="s">
        <v>588</v>
      </c>
      <c r="J12" s="1413" t="s">
        <v>589</v>
      </c>
      <c r="K12" s="1413" t="s">
        <v>793</v>
      </c>
      <c r="L12" s="1413" t="s">
        <v>591</v>
      </c>
      <c r="M12" s="1413" t="s">
        <v>794</v>
      </c>
      <c r="O12" s="1554" t="s">
        <v>795</v>
      </c>
      <c r="P12" s="1385"/>
      <c r="Q12" s="1252"/>
      <c r="R12" s="1252"/>
      <c r="S12" s="1252"/>
      <c r="T12" s="1252"/>
      <c r="U12" s="1252"/>
      <c r="V12" s="1252"/>
      <c r="W12" s="1252"/>
      <c r="X12" s="1252"/>
      <c r="Y12" s="1252"/>
      <c r="Z12" s="1252"/>
    </row>
    <row r="13" spans="1:26" s="192" customFormat="1" ht="42.75" customHeight="1">
      <c r="A13" s="1424" t="s">
        <v>796</v>
      </c>
      <c r="B13" s="1428">
        <v>0</v>
      </c>
      <c r="C13" s="1426" t="s">
        <v>796</v>
      </c>
      <c r="D13" s="1427"/>
      <c r="E13" s="1427"/>
      <c r="F13" s="1427"/>
      <c r="G13" s="173"/>
      <c r="H13" s="267">
        <f>+I13+J13+K13+L13+M13</f>
        <v>116976</v>
      </c>
      <c r="I13" s="264">
        <v>16243</v>
      </c>
      <c r="J13" s="264">
        <v>31009</v>
      </c>
      <c r="K13" s="265">
        <v>5751</v>
      </c>
      <c r="L13" s="264">
        <v>31175</v>
      </c>
      <c r="M13" s="264">
        <v>32798</v>
      </c>
      <c r="O13" s="186" t="s">
        <v>797</v>
      </c>
      <c r="P13" s="186"/>
      <c r="Q13" s="186"/>
      <c r="R13" s="186"/>
    </row>
    <row r="14" spans="1:26" s="196" customFormat="1" ht="39.75" customHeight="1">
      <c r="A14" s="1330" t="s">
        <v>798</v>
      </c>
      <c r="B14" s="259">
        <f>SUM(B10:B13)</f>
        <v>112284</v>
      </c>
      <c r="C14" s="1330" t="s">
        <v>799</v>
      </c>
      <c r="D14" s="259">
        <f>SUM(D10:D12)</f>
        <v>2554953</v>
      </c>
      <c r="E14" s="1330" t="s">
        <v>799</v>
      </c>
      <c r="F14" s="259">
        <f>SUM(F10:F12)</f>
        <v>2554953</v>
      </c>
      <c r="G14" s="173"/>
      <c r="H14" s="173"/>
      <c r="I14" s="188"/>
      <c r="J14" s="188"/>
      <c r="K14" s="187"/>
      <c r="L14" s="188"/>
      <c r="M14" s="188"/>
      <c r="N14" s="188"/>
      <c r="O14" s="190"/>
      <c r="P14" s="190"/>
      <c r="S14" s="188"/>
      <c r="T14" s="188"/>
      <c r="U14" s="188"/>
      <c r="V14" s="188"/>
    </row>
    <row r="15" spans="1:26" s="191" customFormat="1" ht="57.75" customHeight="1">
      <c r="A15" s="187"/>
      <c r="B15" s="187"/>
      <c r="C15" s="188"/>
      <c r="D15" s="194"/>
      <c r="E15" s="186"/>
      <c r="F15" s="1429">
        <f>+F14-D14</f>
        <v>0</v>
      </c>
      <c r="G15" s="173"/>
      <c r="H15" s="173"/>
      <c r="I15" s="186"/>
      <c r="J15" s="187"/>
      <c r="K15" s="187"/>
      <c r="L15" s="187"/>
      <c r="M15" s="187"/>
      <c r="N15" s="187"/>
      <c r="O15" s="190"/>
      <c r="P15" s="190"/>
      <c r="Q15" s="196"/>
      <c r="R15" s="196"/>
    </row>
    <row r="16" spans="1:26" s="196" customFormat="1" ht="33.75" customHeight="1">
      <c r="A16" s="2234" t="s">
        <v>800</v>
      </c>
      <c r="B16" s="2235"/>
      <c r="C16" s="2235"/>
      <c r="D16" s="2235"/>
      <c r="E16" s="2236"/>
      <c r="G16" s="173"/>
      <c r="H16" s="173"/>
      <c r="I16" s="195"/>
      <c r="J16" s="187"/>
      <c r="K16" s="187"/>
      <c r="L16" s="187"/>
      <c r="M16" s="187"/>
      <c r="N16" s="187"/>
      <c r="O16" s="190"/>
      <c r="P16" s="190"/>
      <c r="Q16" s="158"/>
      <c r="R16" s="191"/>
    </row>
    <row r="17" spans="1:22" s="191" customFormat="1" ht="33.75">
      <c r="A17" s="198"/>
      <c r="B17" s="197"/>
      <c r="C17" s="197" t="s">
        <v>801</v>
      </c>
      <c r="D17" s="197" t="s">
        <v>802</v>
      </c>
      <c r="E17" s="197" t="s">
        <v>803</v>
      </c>
      <c r="G17" s="173"/>
      <c r="H17" s="173"/>
      <c r="I17" s="174"/>
      <c r="J17" s="197" t="s">
        <v>648</v>
      </c>
      <c r="K17" s="197" t="s">
        <v>271</v>
      </c>
      <c r="L17" s="197" t="s">
        <v>266</v>
      </c>
      <c r="N17" s="187"/>
      <c r="O17" s="190"/>
      <c r="P17" s="190"/>
      <c r="Q17" s="192"/>
    </row>
    <row r="18" spans="1:22" s="191" customFormat="1" ht="33.75">
      <c r="A18" s="199" t="s">
        <v>532</v>
      </c>
      <c r="B18" s="201"/>
      <c r="C18" s="248">
        <f>+D18+E18</f>
        <v>7014760</v>
      </c>
      <c r="D18" s="159">
        <f>+D26+D37</f>
        <v>3606159</v>
      </c>
      <c r="E18" s="159">
        <f>+E26+E37</f>
        <v>3408601</v>
      </c>
      <c r="G18" s="173"/>
      <c r="H18" s="173"/>
      <c r="I18" s="174"/>
      <c r="J18" s="241" t="s">
        <v>804</v>
      </c>
      <c r="K18" s="264">
        <v>36384</v>
      </c>
      <c r="L18" s="1443"/>
    </row>
    <row r="19" spans="1:22" s="191" customFormat="1" ht="33.75">
      <c r="A19" s="199" t="s">
        <v>805</v>
      </c>
      <c r="B19" s="201"/>
      <c r="C19" s="248">
        <f>+D19+E19</f>
        <v>3166821</v>
      </c>
      <c r="D19" s="159">
        <f>+D27+D38</f>
        <v>1505653</v>
      </c>
      <c r="E19" s="159">
        <f>+E27+E38</f>
        <v>1661168</v>
      </c>
      <c r="G19" s="173"/>
      <c r="H19" s="173"/>
      <c r="I19" s="174"/>
      <c r="J19" s="241" t="s">
        <v>731</v>
      </c>
      <c r="K19" s="264">
        <v>254497</v>
      </c>
      <c r="L19" s="1443"/>
    </row>
    <row r="20" spans="1:22" s="191" customFormat="1" ht="33.75">
      <c r="A20" s="199" t="s">
        <v>806</v>
      </c>
      <c r="B20" s="201"/>
      <c r="C20" s="248">
        <f>+D20+E20</f>
        <v>265875</v>
      </c>
      <c r="D20" s="159">
        <f>+D28</f>
        <v>83720</v>
      </c>
      <c r="E20" s="159">
        <f>+E28</f>
        <v>182155</v>
      </c>
      <c r="F20" s="187"/>
      <c r="G20" s="173"/>
      <c r="H20" s="173"/>
      <c r="I20" s="174"/>
      <c r="J20" s="241" t="s">
        <v>733</v>
      </c>
      <c r="K20" s="264">
        <v>327033</v>
      </c>
      <c r="L20" s="1443"/>
    </row>
    <row r="21" spans="1:22" s="191" customFormat="1" ht="33.75">
      <c r="A21" s="199" t="s">
        <v>426</v>
      </c>
      <c r="B21" s="201"/>
      <c r="C21" s="248"/>
      <c r="D21" s="201"/>
      <c r="E21" s="201"/>
      <c r="F21" s="187"/>
      <c r="G21" s="173"/>
      <c r="H21" s="173"/>
      <c r="I21" s="174"/>
      <c r="J21" s="241" t="s">
        <v>734</v>
      </c>
      <c r="K21" s="264">
        <v>341841</v>
      </c>
      <c r="L21" s="1443"/>
    </row>
    <row r="22" spans="1:22" s="191" customFormat="1" ht="33.75">
      <c r="A22" s="198" t="s">
        <v>235</v>
      </c>
      <c r="B22" s="201"/>
      <c r="C22" s="202">
        <f>SUM(C18:C21)</f>
        <v>10447456</v>
      </c>
      <c r="D22" s="202">
        <f>SUM(D18:D21)</f>
        <v>5195532</v>
      </c>
      <c r="E22" s="202">
        <f>SUM(E18:E21)</f>
        <v>5251924</v>
      </c>
      <c r="F22" s="187"/>
      <c r="G22" s="173"/>
      <c r="H22" s="173"/>
      <c r="I22" s="174"/>
      <c r="J22" s="241" t="s">
        <v>735</v>
      </c>
      <c r="K22" s="264">
        <v>291985</v>
      </c>
      <c r="L22" s="1443"/>
    </row>
    <row r="23" spans="1:22" s="191" customFormat="1" ht="33.75">
      <c r="F23" s="187"/>
      <c r="G23" s="173"/>
      <c r="H23" s="173"/>
      <c r="I23" s="174"/>
      <c r="J23" s="241" t="s">
        <v>736</v>
      </c>
      <c r="K23" s="264">
        <v>251107</v>
      </c>
      <c r="L23" s="1443"/>
    </row>
    <row r="24" spans="1:22" s="191" customFormat="1" ht="39.75" customHeight="1">
      <c r="A24" s="2249" t="s">
        <v>807</v>
      </c>
      <c r="B24" s="2250"/>
      <c r="C24" s="2250"/>
      <c r="D24" s="2250"/>
      <c r="E24" s="2251"/>
      <c r="F24" s="187"/>
      <c r="G24" s="173"/>
      <c r="H24" s="173"/>
      <c r="I24" s="174"/>
      <c r="J24" s="241" t="s">
        <v>737</v>
      </c>
      <c r="K24" s="264">
        <v>216068</v>
      </c>
      <c r="L24" s="1443"/>
    </row>
    <row r="25" spans="1:22" s="191" customFormat="1" ht="39.75" customHeight="1">
      <c r="A25" s="1339"/>
      <c r="B25" s="1340"/>
      <c r="C25" s="1340" t="s">
        <v>801</v>
      </c>
      <c r="D25" s="1340" t="s">
        <v>802</v>
      </c>
      <c r="E25" s="1340" t="s">
        <v>803</v>
      </c>
      <c r="F25" s="187"/>
      <c r="G25" s="173"/>
      <c r="H25" s="173"/>
      <c r="I25" s="174"/>
      <c r="J25" s="241" t="s">
        <v>738</v>
      </c>
      <c r="K25" s="264">
        <v>172700</v>
      </c>
      <c r="L25" s="1443"/>
    </row>
    <row r="26" spans="1:22" s="192" customFormat="1" ht="31.5" customHeight="1">
      <c r="A26" s="199" t="s">
        <v>532</v>
      </c>
      <c r="B26" s="201"/>
      <c r="C26" s="248">
        <f>+D26+E26</f>
        <v>2191942</v>
      </c>
      <c r="D26" s="159">
        <v>1231096</v>
      </c>
      <c r="E26" s="159">
        <v>960846</v>
      </c>
      <c r="F26" s="200"/>
      <c r="G26" s="173"/>
      <c r="H26" s="173"/>
      <c r="I26" s="174"/>
      <c r="J26" s="241" t="s">
        <v>739</v>
      </c>
      <c r="K26" s="264">
        <v>137437</v>
      </c>
      <c r="L26" s="1443"/>
      <c r="M26" s="191"/>
      <c r="N26" s="191"/>
      <c r="O26" s="191"/>
      <c r="P26" s="191"/>
      <c r="Q26" s="191"/>
      <c r="R26" s="191"/>
      <c r="S26" s="191"/>
      <c r="T26" s="191"/>
      <c r="U26" s="191"/>
      <c r="V26" s="191"/>
    </row>
    <row r="27" spans="1:22" s="192" customFormat="1" ht="31.5" customHeight="1">
      <c r="A27" s="199" t="s">
        <v>805</v>
      </c>
      <c r="B27" s="201"/>
      <c r="C27" s="248">
        <f>+D27+E27</f>
        <v>2292413</v>
      </c>
      <c r="D27" s="159">
        <v>1047184</v>
      </c>
      <c r="E27" s="159">
        <v>1245229</v>
      </c>
      <c r="F27" s="200"/>
      <c r="G27" s="173"/>
      <c r="H27" s="173"/>
      <c r="I27" s="174"/>
      <c r="J27" s="241" t="s">
        <v>808</v>
      </c>
      <c r="K27" s="264">
        <v>197879</v>
      </c>
      <c r="L27" s="1443"/>
      <c r="M27" s="191"/>
      <c r="N27" s="191"/>
      <c r="O27" s="191"/>
      <c r="P27" s="191"/>
      <c r="Q27" s="191"/>
      <c r="R27" s="191"/>
      <c r="S27" s="191"/>
      <c r="T27" s="191"/>
      <c r="U27" s="191"/>
      <c r="V27" s="191"/>
    </row>
    <row r="28" spans="1:22" s="192" customFormat="1" ht="31.5" customHeight="1">
      <c r="A28" s="199" t="s">
        <v>806</v>
      </c>
      <c r="B28" s="201"/>
      <c r="C28" s="248">
        <f>+D28+E28</f>
        <v>265875</v>
      </c>
      <c r="D28" s="159">
        <v>83720</v>
      </c>
      <c r="E28" s="159">
        <v>182155</v>
      </c>
      <c r="F28" s="200"/>
      <c r="G28" s="173"/>
      <c r="H28" s="173"/>
      <c r="I28" s="174"/>
      <c r="J28" s="197" t="s">
        <v>809</v>
      </c>
      <c r="K28" s="256">
        <f>SUM(K18:K27)</f>
        <v>2226931</v>
      </c>
      <c r="L28" s="1467">
        <f>+K28/$K$28</f>
        <v>1</v>
      </c>
      <c r="M28" s="191"/>
      <c r="N28" s="191"/>
      <c r="O28" s="191"/>
      <c r="P28" s="191"/>
      <c r="Q28" s="191"/>
      <c r="R28" s="191"/>
      <c r="S28" s="191"/>
      <c r="T28" s="191"/>
      <c r="U28" s="191"/>
      <c r="V28" s="191"/>
    </row>
    <row r="29" spans="1:22" s="191" customFormat="1" ht="31.5" customHeight="1">
      <c r="A29" s="199"/>
      <c r="B29" s="201"/>
      <c r="C29" s="201"/>
      <c r="D29" s="201"/>
      <c r="E29" s="201"/>
      <c r="F29" s="200"/>
      <c r="G29" s="173"/>
      <c r="H29" s="173"/>
      <c r="I29" s="175"/>
      <c r="J29" s="187"/>
      <c r="K29" s="194">
        <f>+K28-D45</f>
        <v>0</v>
      </c>
      <c r="L29" s="1430"/>
    </row>
    <row r="30" spans="1:22" s="191" customFormat="1" ht="33.75">
      <c r="A30" s="198" t="s">
        <v>235</v>
      </c>
      <c r="B30" s="202">
        <f>SUM(B26:B29)</f>
        <v>0</v>
      </c>
      <c r="C30" s="202">
        <f>SUM(C26:C29)</f>
        <v>4750230</v>
      </c>
      <c r="D30" s="202">
        <f>SUM(D26:D29)</f>
        <v>2362000</v>
      </c>
      <c r="E30" s="202">
        <f>SUM(E26:E29)</f>
        <v>2388230</v>
      </c>
      <c r="F30" s="200"/>
      <c r="G30" s="173"/>
      <c r="H30" s="173"/>
      <c r="I30" s="175"/>
      <c r="J30" s="203"/>
      <c r="K30" s="203"/>
      <c r="L30" s="1430"/>
    </row>
    <row r="31" spans="1:22" s="191" customFormat="1" ht="63">
      <c r="A31" s="186"/>
      <c r="B31" s="186"/>
      <c r="C31" s="1173"/>
      <c r="D31" s="186"/>
      <c r="E31" s="186"/>
      <c r="F31" s="200"/>
      <c r="G31" s="1469"/>
      <c r="H31" s="173"/>
      <c r="I31" s="204"/>
      <c r="J31" s="197" t="s">
        <v>810</v>
      </c>
      <c r="K31" s="197" t="s">
        <v>271</v>
      </c>
      <c r="L31" s="197" t="s">
        <v>266</v>
      </c>
      <c r="N31" s="203"/>
    </row>
    <row r="32" spans="1:22" s="191" customFormat="1" ht="33.75">
      <c r="A32" s="2231" t="s">
        <v>426</v>
      </c>
      <c r="B32" s="2233"/>
      <c r="C32" s="188"/>
      <c r="D32" s="186"/>
      <c r="E32" s="186"/>
      <c r="F32" s="187"/>
      <c r="G32" s="173"/>
      <c r="H32" s="173"/>
      <c r="I32" s="205"/>
      <c r="J32" s="159" t="s">
        <v>811</v>
      </c>
      <c r="K32" s="264">
        <v>904386</v>
      </c>
      <c r="L32" s="1443"/>
      <c r="O32" s="203"/>
    </row>
    <row r="33" spans="1:23" s="191" customFormat="1" ht="33.75">
      <c r="A33" s="159" t="s">
        <v>235</v>
      </c>
      <c r="B33" s="159">
        <f>+H13</f>
        <v>116976</v>
      </c>
      <c r="C33" s="186"/>
      <c r="D33" s="186"/>
      <c r="E33" s="186"/>
      <c r="F33" s="187"/>
      <c r="G33" s="173"/>
      <c r="H33" s="173"/>
      <c r="I33" s="194"/>
      <c r="J33" s="159" t="s">
        <v>812</v>
      </c>
      <c r="K33" s="264">
        <v>837993</v>
      </c>
      <c r="L33" s="1443"/>
      <c r="N33" s="203"/>
      <c r="O33" s="203"/>
    </row>
    <row r="34" spans="1:23" s="191" customFormat="1" ht="33.75">
      <c r="A34" s="186"/>
      <c r="B34" s="186"/>
      <c r="C34" s="188"/>
      <c r="D34" s="186"/>
      <c r="E34" s="186"/>
      <c r="F34" s="187"/>
      <c r="G34" s="173"/>
      <c r="H34" s="173"/>
      <c r="I34" s="187"/>
      <c r="J34" s="159" t="s">
        <v>813</v>
      </c>
      <c r="K34" s="264">
        <v>232602</v>
      </c>
      <c r="L34" s="1443"/>
      <c r="N34" s="203"/>
      <c r="O34" s="187"/>
      <c r="P34" s="192"/>
      <c r="Q34" s="192"/>
      <c r="R34" s="192"/>
    </row>
    <row r="35" spans="1:23" s="191" customFormat="1" ht="36">
      <c r="A35" s="2252" t="s">
        <v>530</v>
      </c>
      <c r="B35" s="2253"/>
      <c r="C35" s="2253"/>
      <c r="D35" s="2253"/>
      <c r="E35" s="2254"/>
      <c r="F35" s="187"/>
      <c r="G35" s="173"/>
      <c r="H35" s="173"/>
      <c r="I35" s="187"/>
      <c r="J35" s="159" t="s">
        <v>814</v>
      </c>
      <c r="K35" s="264">
        <v>135616</v>
      </c>
      <c r="L35" s="1443"/>
      <c r="N35" s="187"/>
      <c r="O35" s="187"/>
      <c r="P35" s="192"/>
      <c r="Q35" s="192"/>
      <c r="R35" s="192"/>
      <c r="S35" s="192"/>
      <c r="T35" s="192"/>
      <c r="U35" s="192"/>
      <c r="V35" s="192"/>
      <c r="W35" s="192"/>
    </row>
    <row r="36" spans="1:23" s="191" customFormat="1" ht="33.75">
      <c r="A36" s="1341"/>
      <c r="B36" s="1342"/>
      <c r="C36" s="207" t="s">
        <v>815</v>
      </c>
      <c r="D36" s="207" t="s">
        <v>816</v>
      </c>
      <c r="E36" s="207" t="s">
        <v>817</v>
      </c>
      <c r="F36" s="187"/>
      <c r="G36" s="173"/>
      <c r="H36" s="173"/>
      <c r="I36" s="187"/>
      <c r="J36" s="159" t="s">
        <v>818</v>
      </c>
      <c r="K36" s="264">
        <v>63522</v>
      </c>
      <c r="L36" s="1443"/>
      <c r="N36" s="187"/>
      <c r="O36" s="187"/>
      <c r="P36" s="192"/>
      <c r="Q36" s="192"/>
      <c r="R36" s="192"/>
      <c r="S36" s="192"/>
      <c r="T36" s="192"/>
      <c r="U36" s="192"/>
      <c r="V36" s="192"/>
      <c r="W36" s="192"/>
    </row>
    <row r="37" spans="1:23" s="191" customFormat="1" ht="33.75">
      <c r="A37" s="193" t="s">
        <v>532</v>
      </c>
      <c r="B37" s="1002"/>
      <c r="C37" s="208">
        <f>+D37+E37</f>
        <v>4822818</v>
      </c>
      <c r="D37" s="159">
        <v>2375063</v>
      </c>
      <c r="E37" s="159">
        <v>2447755</v>
      </c>
      <c r="F37" s="187"/>
      <c r="G37" s="173"/>
      <c r="H37" s="173"/>
      <c r="I37" s="187"/>
      <c r="J37" s="159" t="s">
        <v>819</v>
      </c>
      <c r="K37" s="264">
        <v>21841</v>
      </c>
      <c r="L37" s="1443"/>
      <c r="N37" s="187"/>
      <c r="O37" s="187"/>
      <c r="P37" s="192"/>
      <c r="Q37" s="192"/>
      <c r="R37" s="192"/>
      <c r="S37" s="192"/>
      <c r="T37" s="192"/>
      <c r="U37" s="192"/>
      <c r="V37" s="192"/>
      <c r="W37" s="192"/>
    </row>
    <row r="38" spans="1:23" s="191" customFormat="1" ht="33.75">
      <c r="A38" s="193" t="s">
        <v>820</v>
      </c>
      <c r="B38" s="1002"/>
      <c r="C38" s="208">
        <f>+D38+E38</f>
        <v>874408</v>
      </c>
      <c r="D38" s="159">
        <v>458469</v>
      </c>
      <c r="E38" s="159">
        <v>415939</v>
      </c>
      <c r="F38" s="187"/>
      <c r="G38" s="173"/>
      <c r="H38" s="173"/>
      <c r="I38" s="187"/>
      <c r="J38" s="159" t="s">
        <v>821</v>
      </c>
      <c r="K38" s="264">
        <v>11990</v>
      </c>
      <c r="L38" s="1443"/>
      <c r="N38" s="187"/>
      <c r="O38" s="187"/>
      <c r="P38" s="192"/>
      <c r="Q38" s="192"/>
      <c r="R38" s="192"/>
      <c r="S38" s="192"/>
      <c r="T38" s="192"/>
      <c r="U38" s="192"/>
      <c r="V38" s="192"/>
      <c r="W38" s="192"/>
    </row>
    <row r="39" spans="1:23" s="191" customFormat="1" ht="33.75">
      <c r="A39" s="206" t="s">
        <v>235</v>
      </c>
      <c r="B39" s="1002"/>
      <c r="C39" s="210">
        <f>SUM(C37:C38)</f>
        <v>5697226</v>
      </c>
      <c r="D39" s="209">
        <f>SUM(D37:D38)</f>
        <v>2833532</v>
      </c>
      <c r="E39" s="209">
        <f>SUM(E37:E38)</f>
        <v>2863694</v>
      </c>
      <c r="F39" s="187"/>
      <c r="G39" s="173"/>
      <c r="H39" s="173"/>
      <c r="I39" s="203"/>
      <c r="J39" s="159" t="s">
        <v>822</v>
      </c>
      <c r="K39" s="264">
        <v>10813</v>
      </c>
      <c r="L39" s="1443"/>
      <c r="N39" s="187"/>
      <c r="O39" s="187"/>
      <c r="P39" s="192"/>
      <c r="Q39" s="192"/>
      <c r="R39" s="192"/>
      <c r="S39" s="192"/>
      <c r="T39" s="192"/>
      <c r="U39" s="192"/>
      <c r="V39" s="192"/>
      <c r="W39" s="192"/>
    </row>
    <row r="40" spans="1:23" s="191" customFormat="1" ht="33.75">
      <c r="A40" s="186"/>
      <c r="B40" s="211"/>
      <c r="C40" s="212"/>
      <c r="D40" s="205"/>
      <c r="E40" s="205"/>
      <c r="F40" s="187"/>
      <c r="G40" s="173"/>
      <c r="H40" s="173"/>
      <c r="I40" s="203"/>
      <c r="J40" s="159" t="s">
        <v>823</v>
      </c>
      <c r="K40" s="264">
        <v>8168</v>
      </c>
      <c r="L40" s="1443"/>
      <c r="N40" s="187"/>
      <c r="O40" s="187"/>
      <c r="P40" s="192"/>
      <c r="Q40" s="192"/>
      <c r="R40" s="192"/>
      <c r="S40" s="192"/>
      <c r="T40" s="192"/>
      <c r="U40" s="192"/>
      <c r="V40" s="192"/>
      <c r="W40" s="192"/>
    </row>
    <row r="41" spans="1:23" s="191" customFormat="1" ht="33.75">
      <c r="A41" s="2231" t="s">
        <v>824</v>
      </c>
      <c r="B41" s="2232"/>
      <c r="C41" s="2232"/>
      <c r="D41" s="2233"/>
      <c r="E41" s="186"/>
      <c r="F41" s="187"/>
      <c r="G41" s="203"/>
      <c r="H41" s="187"/>
      <c r="I41" s="203"/>
      <c r="J41" s="197" t="s">
        <v>809</v>
      </c>
      <c r="K41" s="256">
        <f>SUM(K32:K40)</f>
        <v>2226931</v>
      </c>
      <c r="L41" s="1442">
        <f>SUM(L32:L40)</f>
        <v>0</v>
      </c>
      <c r="N41" s="187"/>
      <c r="O41" s="192"/>
      <c r="P41" s="192"/>
      <c r="S41" s="192"/>
      <c r="T41" s="192"/>
      <c r="U41" s="192"/>
      <c r="V41" s="192"/>
      <c r="W41" s="192"/>
    </row>
    <row r="42" spans="1:23" s="191" customFormat="1" ht="33.75">
      <c r="A42" s="2231" t="s">
        <v>272</v>
      </c>
      <c r="B42" s="2233"/>
      <c r="C42" s="2237" t="s">
        <v>271</v>
      </c>
      <c r="D42" s="2237"/>
      <c r="E42" s="187"/>
      <c r="F42" s="187"/>
      <c r="G42" s="203"/>
      <c r="H42" s="187"/>
      <c r="I42" s="203"/>
      <c r="J42" s="203"/>
      <c r="K42" s="194">
        <f>+K41-D45</f>
        <v>0</v>
      </c>
      <c r="L42" s="187"/>
      <c r="M42" s="187"/>
      <c r="N42" s="187"/>
      <c r="O42" s="192"/>
      <c r="P42" s="192"/>
    </row>
    <row r="43" spans="1:23" s="191" customFormat="1" ht="33.75">
      <c r="A43" s="159" t="s">
        <v>238</v>
      </c>
      <c r="B43" s="226">
        <v>2934309</v>
      </c>
      <c r="C43" s="227" t="s">
        <v>238</v>
      </c>
      <c r="D43" s="226">
        <v>1146994</v>
      </c>
      <c r="E43" s="1431"/>
      <c r="F43" s="187"/>
      <c r="G43" s="203"/>
      <c r="H43" s="187"/>
      <c r="I43" s="203"/>
      <c r="J43" s="203"/>
      <c r="K43" s="187"/>
      <c r="L43" s="187"/>
      <c r="M43" s="187"/>
      <c r="N43" s="187"/>
      <c r="O43" s="203"/>
      <c r="P43" s="203"/>
      <c r="Q43" s="203"/>
      <c r="R43" s="203"/>
    </row>
    <row r="44" spans="1:23" s="191" customFormat="1" ht="33.75">
      <c r="A44" s="159" t="s">
        <v>239</v>
      </c>
      <c r="B44" s="226">
        <v>2458254</v>
      </c>
      <c r="C44" s="227" t="s">
        <v>239</v>
      </c>
      <c r="D44" s="226">
        <v>1079937</v>
      </c>
      <c r="E44" s="1431"/>
      <c r="F44" s="203"/>
      <c r="G44" s="203"/>
      <c r="H44" s="187"/>
      <c r="I44" s="203"/>
      <c r="J44" s="203"/>
      <c r="K44" s="203"/>
      <c r="L44" s="203"/>
      <c r="M44" s="203"/>
      <c r="N44" s="203"/>
      <c r="O44" s="192"/>
      <c r="P44" s="192"/>
    </row>
    <row r="45" spans="1:23" s="191" customFormat="1" ht="33.75">
      <c r="A45" s="186"/>
      <c r="B45" s="228">
        <f>+B44+B43</f>
        <v>5392563</v>
      </c>
      <c r="C45" s="187" t="s">
        <v>1</v>
      </c>
      <c r="D45" s="228">
        <f>+D44+D43</f>
        <v>2226931</v>
      </c>
      <c r="E45" s="187"/>
      <c r="F45" s="203"/>
      <c r="G45" s="203"/>
      <c r="H45" s="187"/>
      <c r="I45" s="203"/>
      <c r="J45" s="187"/>
      <c r="K45" s="187"/>
      <c r="L45" s="187"/>
      <c r="M45" s="187"/>
      <c r="N45" s="187"/>
      <c r="O45" s="192"/>
      <c r="P45" s="192"/>
      <c r="Q45" s="192"/>
      <c r="R45" s="192"/>
    </row>
    <row r="46" spans="1:23" s="192" customFormat="1" ht="33.75">
      <c r="A46" s="1431"/>
      <c r="B46" s="187"/>
      <c r="C46" s="187"/>
      <c r="D46" s="187"/>
      <c r="E46" s="187"/>
      <c r="F46" s="187"/>
      <c r="G46" s="187"/>
      <c r="H46" s="187"/>
      <c r="I46" s="187"/>
      <c r="J46" s="187"/>
      <c r="K46" s="187"/>
      <c r="L46" s="187"/>
      <c r="M46" s="187"/>
      <c r="N46" s="187"/>
    </row>
    <row r="47" spans="1:23" s="192" customFormat="1" ht="33.75">
      <c r="A47" s="1431"/>
      <c r="B47" s="186"/>
      <c r="C47" s="188"/>
      <c r="D47" s="188"/>
      <c r="E47" s="186"/>
      <c r="F47" s="194">
        <f>+F50-F10</f>
        <v>0</v>
      </c>
      <c r="G47" s="194">
        <f>+G50-F11</f>
        <v>0</v>
      </c>
      <c r="H47" s="187"/>
      <c r="I47" s="187"/>
      <c r="J47" s="187"/>
      <c r="K47" s="187"/>
      <c r="L47" s="187"/>
      <c r="M47" s="187"/>
      <c r="N47" s="187"/>
      <c r="Q47" s="191"/>
      <c r="R47" s="191"/>
    </row>
    <row r="48" spans="1:23" s="191" customFormat="1" ht="33.75">
      <c r="A48" s="2231" t="s">
        <v>825</v>
      </c>
      <c r="B48" s="2233"/>
      <c r="C48" s="188"/>
      <c r="D48" s="2238" t="s">
        <v>826</v>
      </c>
      <c r="E48" s="2238"/>
      <c r="F48" s="2238"/>
      <c r="G48" s="2238"/>
      <c r="H48" s="187"/>
      <c r="I48" s="2246" t="s">
        <v>827</v>
      </c>
      <c r="J48" s="2246"/>
      <c r="K48" s="2246"/>
      <c r="L48" s="2246"/>
      <c r="M48" s="2246"/>
      <c r="N48" s="187"/>
      <c r="O48" s="192"/>
      <c r="P48" s="192"/>
    </row>
    <row r="49" spans="1:16" s="191" customFormat="1" ht="33.75">
      <c r="A49" s="266" t="s">
        <v>828</v>
      </c>
      <c r="B49" s="213">
        <v>9.4E-2</v>
      </c>
      <c r="C49" s="1100"/>
      <c r="D49" s="2247" t="s">
        <v>274</v>
      </c>
      <c r="E49" s="1334" t="s">
        <v>235</v>
      </c>
      <c r="F49" s="1334" t="s">
        <v>177</v>
      </c>
      <c r="G49" s="1334" t="s">
        <v>176</v>
      </c>
      <c r="H49" s="187"/>
      <c r="I49" s="2237" t="s">
        <v>829</v>
      </c>
      <c r="J49" s="2237"/>
      <c r="K49" s="2237"/>
      <c r="L49" s="2237"/>
      <c r="M49" s="2237"/>
      <c r="N49" s="187"/>
      <c r="O49" s="192"/>
      <c r="P49" s="192"/>
    </row>
    <row r="50" spans="1:16" s="191" customFormat="1" ht="33.75">
      <c r="A50" s="266" t="s">
        <v>830</v>
      </c>
      <c r="B50" s="213">
        <v>9.6000000000000002E-2</v>
      </c>
      <c r="C50" s="1100"/>
      <c r="D50" s="2247"/>
      <c r="E50" s="1445">
        <f>SUM(E51:E66)</f>
        <v>2554953</v>
      </c>
      <c r="F50" s="1331">
        <f>SUM(F51:F66)</f>
        <v>1356180</v>
      </c>
      <c r="G50" s="1331">
        <f>SUM(G51:G66)</f>
        <v>1198773</v>
      </c>
      <c r="H50" s="194"/>
      <c r="I50" s="2227"/>
      <c r="J50" s="2227"/>
      <c r="K50" s="2227"/>
      <c r="L50" s="2227"/>
      <c r="M50" s="2227"/>
      <c r="N50" s="187"/>
      <c r="O50" s="192"/>
      <c r="P50" s="192"/>
    </row>
    <row r="51" spans="1:16" s="191" customFormat="1" ht="33.75">
      <c r="A51" s="266" t="s">
        <v>831</v>
      </c>
      <c r="B51" s="213">
        <v>3.7100000000000001E-2</v>
      </c>
      <c r="C51" s="1100"/>
      <c r="D51" s="260" t="s">
        <v>275</v>
      </c>
      <c r="E51" s="235">
        <f t="shared" ref="E51:E66" si="0">+F51+G51</f>
        <v>45410</v>
      </c>
      <c r="F51" s="177">
        <v>26970</v>
      </c>
      <c r="G51" s="177">
        <v>18440</v>
      </c>
      <c r="H51" s="1432"/>
      <c r="I51" s="2227" t="s">
        <v>562</v>
      </c>
      <c r="J51" s="2227" t="s">
        <v>673</v>
      </c>
      <c r="K51" s="261" t="s">
        <v>832</v>
      </c>
      <c r="L51" s="1333" t="s">
        <v>833</v>
      </c>
      <c r="M51" s="1333" t="s">
        <v>834</v>
      </c>
      <c r="N51" s="187"/>
      <c r="O51" s="192"/>
      <c r="P51" s="192"/>
    </row>
    <row r="52" spans="1:16" s="191" customFormat="1" ht="33.75">
      <c r="A52" s="186"/>
      <c r="B52" s="186"/>
      <c r="C52" s="188"/>
      <c r="D52" s="260" t="s">
        <v>276</v>
      </c>
      <c r="E52" s="235">
        <f t="shared" si="0"/>
        <v>299756</v>
      </c>
      <c r="F52" s="177">
        <v>161086</v>
      </c>
      <c r="G52" s="177">
        <v>138670</v>
      </c>
      <c r="H52" s="1432"/>
      <c r="I52" s="2227"/>
      <c r="J52" s="2227"/>
      <c r="K52" s="261" t="s">
        <v>809</v>
      </c>
      <c r="L52" s="262">
        <f>SUM(L53:L61)</f>
        <v>112284</v>
      </c>
      <c r="M52" s="262">
        <f>SUM(M53:M61)</f>
        <v>2554953</v>
      </c>
      <c r="N52" s="187"/>
      <c r="O52" s="192"/>
      <c r="P52" s="192"/>
    </row>
    <row r="53" spans="1:16" s="191" customFormat="1" ht="33.75">
      <c r="A53" s="266" t="s">
        <v>682</v>
      </c>
      <c r="B53" s="1242">
        <v>28253</v>
      </c>
      <c r="C53" s="194"/>
      <c r="D53" s="260" t="s">
        <v>277</v>
      </c>
      <c r="E53" s="235">
        <f t="shared" si="0"/>
        <v>378599</v>
      </c>
      <c r="F53" s="177">
        <v>194282</v>
      </c>
      <c r="G53" s="177">
        <v>184317</v>
      </c>
      <c r="H53" s="1432"/>
      <c r="I53" s="2228"/>
      <c r="J53" s="2228"/>
      <c r="K53" s="257" t="s">
        <v>835</v>
      </c>
      <c r="L53" s="177">
        <v>69424</v>
      </c>
      <c r="M53" s="177">
        <v>173198</v>
      </c>
      <c r="N53" s="187"/>
      <c r="O53" s="192"/>
      <c r="P53" s="192"/>
    </row>
    <row r="54" spans="1:16" s="191" customFormat="1" ht="33.75">
      <c r="A54" s="187"/>
      <c r="B54" s="187"/>
      <c r="C54" s="187"/>
      <c r="D54" s="260" t="s">
        <v>278</v>
      </c>
      <c r="E54" s="235">
        <f t="shared" si="0"/>
        <v>394799</v>
      </c>
      <c r="F54" s="177">
        <v>201158</v>
      </c>
      <c r="G54" s="177">
        <v>193641</v>
      </c>
      <c r="H54" s="1432"/>
      <c r="I54" s="2229"/>
      <c r="J54" s="2229"/>
      <c r="K54" s="257" t="s">
        <v>836</v>
      </c>
      <c r="L54" s="177">
        <v>19580</v>
      </c>
      <c r="M54" s="177">
        <v>148498</v>
      </c>
      <c r="N54" s="187"/>
      <c r="O54" s="192"/>
      <c r="P54" s="192"/>
    </row>
    <row r="55" spans="1:16" s="191" customFormat="1" ht="33.75">
      <c r="A55" s="2231" t="s">
        <v>837</v>
      </c>
      <c r="B55" s="2233"/>
      <c r="C55" s="188"/>
      <c r="D55" s="260" t="s">
        <v>279</v>
      </c>
      <c r="E55" s="235">
        <f t="shared" si="0"/>
        <v>336058</v>
      </c>
      <c r="F55" s="177">
        <v>172301</v>
      </c>
      <c r="G55" s="177">
        <v>163757</v>
      </c>
      <c r="H55" s="1432"/>
      <c r="I55" s="2229"/>
      <c r="J55" s="2229"/>
      <c r="K55" s="257" t="s">
        <v>838</v>
      </c>
      <c r="L55" s="177">
        <v>11217</v>
      </c>
      <c r="M55" s="177">
        <v>161664</v>
      </c>
      <c r="N55" s="187"/>
      <c r="O55" s="192"/>
      <c r="P55" s="192"/>
    </row>
    <row r="56" spans="1:16" s="191" customFormat="1" ht="33.75">
      <c r="A56" s="214" t="s">
        <v>839</v>
      </c>
      <c r="B56" s="159">
        <v>552</v>
      </c>
      <c r="D56" s="260" t="s">
        <v>280</v>
      </c>
      <c r="E56" s="235">
        <f t="shared" si="0"/>
        <v>288084</v>
      </c>
      <c r="F56" s="177">
        <v>149069</v>
      </c>
      <c r="G56" s="177">
        <v>139015</v>
      </c>
      <c r="H56" s="1432"/>
      <c r="I56" s="2229"/>
      <c r="J56" s="2229"/>
      <c r="K56" s="257" t="s">
        <v>840</v>
      </c>
      <c r="L56" s="177">
        <v>7596</v>
      </c>
      <c r="M56" s="177">
        <v>240296</v>
      </c>
      <c r="N56" s="187"/>
      <c r="O56" s="192"/>
      <c r="P56" s="192"/>
    </row>
    <row r="57" spans="1:16" s="191" customFormat="1" ht="33.75">
      <c r="A57" s="214" t="s">
        <v>841</v>
      </c>
      <c r="B57" s="159">
        <v>481</v>
      </c>
      <c r="D57" s="260" t="s">
        <v>281</v>
      </c>
      <c r="E57" s="235">
        <f t="shared" si="0"/>
        <v>245661</v>
      </c>
      <c r="F57" s="177">
        <v>131248</v>
      </c>
      <c r="G57" s="177">
        <v>114413</v>
      </c>
      <c r="H57" s="1432"/>
      <c r="I57" s="2229"/>
      <c r="J57" s="2229"/>
      <c r="K57" s="257" t="s">
        <v>842</v>
      </c>
      <c r="L57" s="177">
        <v>2083</v>
      </c>
      <c r="M57" s="177">
        <v>146064</v>
      </c>
      <c r="N57" s="187"/>
      <c r="O57" s="192"/>
      <c r="P57" s="192"/>
    </row>
    <row r="58" spans="1:16" s="191" customFormat="1" ht="33.75">
      <c r="A58" s="214" t="s">
        <v>843</v>
      </c>
      <c r="B58" s="159">
        <v>78</v>
      </c>
      <c r="D58" s="260" t="s">
        <v>282</v>
      </c>
      <c r="E58" s="235">
        <f t="shared" si="0"/>
        <v>195027</v>
      </c>
      <c r="F58" s="177">
        <v>106962</v>
      </c>
      <c r="G58" s="177">
        <v>88065</v>
      </c>
      <c r="H58" s="1432"/>
      <c r="I58" s="2229"/>
      <c r="J58" s="2229"/>
      <c r="K58" s="257" t="s">
        <v>844</v>
      </c>
      <c r="L58" s="177">
        <v>1827</v>
      </c>
      <c r="M58" s="177">
        <v>383328</v>
      </c>
      <c r="N58" s="187"/>
      <c r="O58" s="192"/>
      <c r="P58" s="192"/>
    </row>
    <row r="59" spans="1:16" s="191" customFormat="1" ht="33.75">
      <c r="A59" s="215" t="s">
        <v>845</v>
      </c>
      <c r="B59" s="1765">
        <v>1455467247107.3999</v>
      </c>
      <c r="D59" s="260" t="s">
        <v>283</v>
      </c>
      <c r="E59" s="235">
        <f t="shared" si="0"/>
        <v>153488</v>
      </c>
      <c r="F59" s="177">
        <v>85540</v>
      </c>
      <c r="G59" s="177">
        <v>67948</v>
      </c>
      <c r="H59" s="1432"/>
      <c r="I59" s="2229"/>
      <c r="J59" s="2229"/>
      <c r="K59" s="257" t="s">
        <v>846</v>
      </c>
      <c r="L59" s="177">
        <v>278</v>
      </c>
      <c r="M59" s="177">
        <v>199866</v>
      </c>
      <c r="N59" s="187"/>
      <c r="O59" s="192"/>
      <c r="P59" s="192"/>
    </row>
    <row r="60" spans="1:16" s="191" customFormat="1" ht="33.75" customHeight="1">
      <c r="A60" s="215" t="s">
        <v>847</v>
      </c>
      <c r="B60" s="216">
        <v>6820019259995.7139</v>
      </c>
      <c r="D60" s="260" t="s">
        <v>284</v>
      </c>
      <c r="E60" s="235">
        <f t="shared" si="0"/>
        <v>101245</v>
      </c>
      <c r="F60" s="177">
        <v>57750</v>
      </c>
      <c r="G60" s="177">
        <v>43495</v>
      </c>
      <c r="H60" s="1432"/>
      <c r="I60" s="2229"/>
      <c r="J60" s="2229"/>
      <c r="K60" s="257" t="s">
        <v>848</v>
      </c>
      <c r="L60" s="177">
        <v>269</v>
      </c>
      <c r="M60" s="177">
        <v>622771</v>
      </c>
      <c r="N60" s="187"/>
      <c r="O60" s="192"/>
      <c r="P60" s="192"/>
    </row>
    <row r="61" spans="1:16" s="191" customFormat="1" ht="33.75">
      <c r="A61" s="217" t="s">
        <v>266</v>
      </c>
      <c r="B61" s="225">
        <f>+B59/B60</f>
        <v>0.21341101712787752</v>
      </c>
      <c r="D61" s="260" t="s">
        <v>285</v>
      </c>
      <c r="E61" s="235">
        <f>+F61+G61</f>
        <v>57979</v>
      </c>
      <c r="F61" s="177">
        <v>34674</v>
      </c>
      <c r="G61" s="177">
        <v>23305</v>
      </c>
      <c r="H61" s="1432"/>
      <c r="I61" s="2230"/>
      <c r="J61" s="2230"/>
      <c r="K61" s="257" t="s">
        <v>849</v>
      </c>
      <c r="L61" s="177">
        <v>10</v>
      </c>
      <c r="M61" s="177">
        <v>479268</v>
      </c>
      <c r="N61" s="187"/>
      <c r="O61" s="192"/>
      <c r="P61" s="192"/>
    </row>
    <row r="62" spans="1:16" s="191" customFormat="1" ht="33.75">
      <c r="A62" s="188"/>
      <c r="B62" s="188"/>
      <c r="C62" s="188"/>
      <c r="D62" s="260" t="s">
        <v>286</v>
      </c>
      <c r="E62" s="235">
        <f t="shared" si="0"/>
        <v>31822</v>
      </c>
      <c r="F62" s="177">
        <v>19416</v>
      </c>
      <c r="G62" s="177">
        <v>12406</v>
      </c>
      <c r="H62" s="1432"/>
      <c r="I62" s="186"/>
      <c r="J62" s="187"/>
      <c r="K62" s="187"/>
      <c r="L62" s="263">
        <f>SUM(L53:L61)</f>
        <v>112284</v>
      </c>
      <c r="M62" s="263">
        <f>SUM(M53:M61)</f>
        <v>2554953</v>
      </c>
      <c r="N62" s="194">
        <f>+M62-F14</f>
        <v>0</v>
      </c>
      <c r="O62" s="192"/>
      <c r="P62" s="192"/>
    </row>
    <row r="63" spans="1:16" s="191" customFormat="1" ht="33.75">
      <c r="A63" s="187"/>
      <c r="B63" s="187"/>
      <c r="C63" s="188"/>
      <c r="D63" s="260" t="s">
        <v>287</v>
      </c>
      <c r="E63" s="235">
        <f t="shared" si="0"/>
        <v>15719</v>
      </c>
      <c r="F63" s="177">
        <v>9318</v>
      </c>
      <c r="G63" s="177">
        <v>6401</v>
      </c>
      <c r="H63" s="1432"/>
      <c r="I63" s="186"/>
      <c r="J63" s="187"/>
      <c r="K63" s="187"/>
      <c r="L63" s="194">
        <f>+L62-B14</f>
        <v>0</v>
      </c>
      <c r="M63" s="194">
        <f>+M62-F14</f>
        <v>0</v>
      </c>
      <c r="N63" s="187"/>
      <c r="O63" s="192"/>
      <c r="P63" s="192"/>
    </row>
    <row r="64" spans="1:16" s="191" customFormat="1" ht="33.75">
      <c r="A64" s="2231" t="s">
        <v>850</v>
      </c>
      <c r="B64" s="2233"/>
      <c r="D64" s="260" t="s">
        <v>288</v>
      </c>
      <c r="E64" s="235">
        <f t="shared" si="0"/>
        <v>6702</v>
      </c>
      <c r="F64" s="177">
        <v>3863</v>
      </c>
      <c r="G64" s="177">
        <v>2839</v>
      </c>
      <c r="H64" s="1432"/>
      <c r="I64" s="186"/>
      <c r="J64" s="187"/>
      <c r="K64" s="187"/>
      <c r="L64" s="194"/>
      <c r="M64" s="187"/>
      <c r="N64" s="187"/>
      <c r="O64" s="192"/>
      <c r="P64" s="192"/>
    </row>
    <row r="65" spans="1:17" s="191" customFormat="1" ht="33.75">
      <c r="A65" s="215" t="s">
        <v>851</v>
      </c>
      <c r="B65" s="1279">
        <v>2445484</v>
      </c>
      <c r="D65" s="260" t="s">
        <v>289</v>
      </c>
      <c r="E65" s="235">
        <f t="shared" si="0"/>
        <v>4603</v>
      </c>
      <c r="F65" s="177">
        <v>2542</v>
      </c>
      <c r="G65" s="177">
        <v>2061</v>
      </c>
      <c r="H65" s="1432"/>
      <c r="I65" s="186"/>
      <c r="J65" s="187"/>
      <c r="K65" s="187"/>
      <c r="L65" s="187"/>
      <c r="M65" s="187"/>
      <c r="N65" s="187"/>
      <c r="O65" s="192"/>
      <c r="P65" s="192"/>
    </row>
    <row r="66" spans="1:17" s="191" customFormat="1" ht="33.75">
      <c r="A66" s="215" t="s">
        <v>852</v>
      </c>
      <c r="B66" s="1279">
        <v>2362291</v>
      </c>
      <c r="D66" s="260" t="s">
        <v>853</v>
      </c>
      <c r="E66" s="235">
        <f t="shared" si="0"/>
        <v>1</v>
      </c>
      <c r="F66" s="177">
        <v>1</v>
      </c>
      <c r="G66" s="1687" t="s">
        <v>854</v>
      </c>
      <c r="H66" s="1432"/>
      <c r="I66" s="186"/>
      <c r="J66" s="187"/>
      <c r="K66" s="187"/>
      <c r="L66" s="187"/>
      <c r="M66" s="187"/>
      <c r="N66" s="187"/>
      <c r="O66" s="192"/>
      <c r="P66" s="192"/>
    </row>
    <row r="67" spans="1:17" s="191" customFormat="1" ht="33.75">
      <c r="A67" s="215" t="s">
        <v>627</v>
      </c>
      <c r="B67" s="1279">
        <v>8111315</v>
      </c>
      <c r="G67" s="201">
        <f>+E50-F14</f>
        <v>0</v>
      </c>
      <c r="H67" s="187"/>
      <c r="I67" s="186"/>
      <c r="J67" s="187"/>
      <c r="K67" s="187"/>
      <c r="L67" s="187"/>
      <c r="M67" s="187"/>
      <c r="N67" s="187"/>
      <c r="O67" s="192"/>
      <c r="P67" s="192"/>
    </row>
    <row r="68" spans="1:17" s="191" customFormat="1" ht="35.25">
      <c r="A68" s="215" t="s">
        <v>855</v>
      </c>
      <c r="B68" s="1279">
        <v>5306102</v>
      </c>
      <c r="C68" s="1609"/>
      <c r="D68" s="186"/>
      <c r="E68" s="186"/>
      <c r="F68" s="1431"/>
      <c r="G68" s="1431"/>
      <c r="H68" s="187"/>
      <c r="I68" s="186"/>
      <c r="J68" s="187"/>
      <c r="K68" s="187"/>
      <c r="L68" s="187"/>
      <c r="M68" s="187"/>
      <c r="N68" s="187"/>
      <c r="O68" s="192"/>
      <c r="P68" s="192"/>
    </row>
    <row r="69" spans="1:17" s="191" customFormat="1" ht="35.25">
      <c r="A69" s="240" t="s">
        <v>856</v>
      </c>
      <c r="B69" s="1279">
        <v>3049300</v>
      </c>
      <c r="C69" s="1609"/>
      <c r="D69" s="186"/>
      <c r="E69" s="188"/>
      <c r="F69" s="187"/>
      <c r="G69" s="187"/>
      <c r="H69" s="186"/>
      <c r="I69" s="187"/>
      <c r="J69" s="187"/>
      <c r="K69" s="187"/>
      <c r="L69" s="187"/>
      <c r="M69" s="187"/>
      <c r="N69" s="192"/>
      <c r="O69" s="192"/>
    </row>
    <row r="70" spans="1:17" s="191" customFormat="1" ht="35.25">
      <c r="A70" s="240" t="s">
        <v>857</v>
      </c>
      <c r="B70" s="1279">
        <v>2256802</v>
      </c>
      <c r="C70" s="1609"/>
      <c r="D70" s="186"/>
      <c r="E70" s="160"/>
      <c r="F70" s="160"/>
      <c r="G70" s="187"/>
      <c r="H70" s="186"/>
      <c r="I70" s="187"/>
      <c r="J70" s="187"/>
      <c r="K70" s="2225" t="s">
        <v>858</v>
      </c>
      <c r="L70" s="2226"/>
      <c r="M70" s="2226"/>
      <c r="N70" s="192"/>
      <c r="O70" s="192"/>
    </row>
    <row r="71" spans="1:17" s="191" customFormat="1" ht="33.75">
      <c r="A71" s="186"/>
      <c r="B71" s="186"/>
      <c r="C71" s="205"/>
      <c r="D71" s="186"/>
      <c r="E71" s="160"/>
      <c r="F71" s="160"/>
      <c r="G71" s="187"/>
      <c r="H71" s="186"/>
      <c r="I71" s="187"/>
      <c r="J71" s="1164" t="s">
        <v>4</v>
      </c>
      <c r="K71" s="1163" t="s">
        <v>4</v>
      </c>
      <c r="L71" s="210" t="s">
        <v>859</v>
      </c>
      <c r="M71" s="1343" t="str">
        <f>+H74</f>
        <v>Ene- Abril 2025</v>
      </c>
      <c r="N71" s="189"/>
      <c r="O71" s="189"/>
      <c r="P71" s="185"/>
      <c r="Q71" s="185"/>
    </row>
    <row r="72" spans="1:17" ht="31.5" customHeight="1">
      <c r="A72" s="187"/>
      <c r="K72" s="258">
        <v>1</v>
      </c>
      <c r="L72" s="209" t="s">
        <v>860</v>
      </c>
      <c r="M72" s="1344">
        <v>7898982677.7200003</v>
      </c>
      <c r="N72" s="189"/>
      <c r="O72" s="185"/>
      <c r="P72" s="185"/>
    </row>
    <row r="73" spans="1:17" ht="33.75" customHeight="1">
      <c r="A73" s="187"/>
      <c r="K73" s="258">
        <v>2</v>
      </c>
      <c r="L73" s="209" t="s">
        <v>861</v>
      </c>
      <c r="M73" s="1344">
        <v>12204346038.09</v>
      </c>
      <c r="N73" s="189"/>
      <c r="O73" s="185"/>
      <c r="P73" s="185"/>
    </row>
    <row r="74" spans="1:17">
      <c r="A74" s="188"/>
      <c r="D74" s="1047" t="s">
        <v>862</v>
      </c>
      <c r="E74" s="1345" t="str">
        <f>+O13</f>
        <v>Ene- Abril 2025</v>
      </c>
      <c r="G74" s="1047" t="s">
        <v>863</v>
      </c>
      <c r="H74" s="1345" t="str">
        <f>+H96</f>
        <v>Ene- Abril 2025</v>
      </c>
      <c r="K74" s="258">
        <v>3</v>
      </c>
      <c r="L74" s="209" t="s">
        <v>864</v>
      </c>
      <c r="M74" s="1344">
        <v>3365590021.23</v>
      </c>
      <c r="N74" s="189"/>
      <c r="O74" s="185"/>
      <c r="P74" s="185"/>
    </row>
    <row r="75" spans="1:17">
      <c r="A75" s="188"/>
      <c r="D75" s="209" t="s">
        <v>865</v>
      </c>
      <c r="E75" s="1344">
        <v>28121598444.849998</v>
      </c>
      <c r="G75" s="209" t="s">
        <v>866</v>
      </c>
      <c r="H75" s="1344">
        <v>9048989016.9699993</v>
      </c>
      <c r="K75" s="258">
        <v>4</v>
      </c>
      <c r="L75" s="209" t="s">
        <v>867</v>
      </c>
      <c r="M75" s="1344">
        <v>1784407976</v>
      </c>
      <c r="N75" s="189"/>
      <c r="O75" s="185"/>
      <c r="P75" s="185"/>
    </row>
    <row r="76" spans="1:17">
      <c r="A76" s="188"/>
      <c r="D76" s="209" t="s">
        <v>868</v>
      </c>
      <c r="E76" s="1344">
        <v>1174983662.8900001</v>
      </c>
      <c r="G76" s="209" t="s">
        <v>869</v>
      </c>
      <c r="H76" s="1344">
        <v>6392968182.0200005</v>
      </c>
      <c r="I76"/>
      <c r="K76" s="258">
        <v>5</v>
      </c>
      <c r="L76" s="209" t="s">
        <v>870</v>
      </c>
      <c r="M76" s="1344">
        <v>975052504.16999996</v>
      </c>
      <c r="N76" s="189"/>
      <c r="O76" s="185"/>
      <c r="P76" s="185"/>
    </row>
    <row r="77" spans="1:17">
      <c r="A77" s="188"/>
      <c r="D77" s="209" t="s">
        <v>871</v>
      </c>
      <c r="E77" s="1346"/>
      <c r="G77" s="209" t="s">
        <v>872</v>
      </c>
      <c r="H77" s="1344">
        <v>5707949263.7200003</v>
      </c>
      <c r="K77" s="258">
        <v>6</v>
      </c>
      <c r="L77" s="209" t="s">
        <v>873</v>
      </c>
      <c r="M77" s="1344">
        <v>2286130061.0799999</v>
      </c>
      <c r="N77" s="1165"/>
      <c r="O77" s="185"/>
      <c r="P77" s="185"/>
    </row>
    <row r="78" spans="1:17">
      <c r="A78" s="188"/>
      <c r="D78" s="209" t="s">
        <v>874</v>
      </c>
      <c r="E78" s="1344">
        <v>2914334108.8899999</v>
      </c>
      <c r="G78" s="209" t="s">
        <v>875</v>
      </c>
      <c r="H78" s="1344">
        <v>5517279579.5100002</v>
      </c>
      <c r="K78" s="258">
        <v>7</v>
      </c>
      <c r="L78" s="209" t="s">
        <v>876</v>
      </c>
      <c r="M78" s="1347"/>
      <c r="N78" s="189"/>
      <c r="O78" s="185"/>
      <c r="P78" s="185"/>
    </row>
    <row r="79" spans="1:17">
      <c r="A79" s="188"/>
      <c r="D79" s="209" t="s">
        <v>877</v>
      </c>
      <c r="E79" s="1344">
        <v>125880699.20999999</v>
      </c>
      <c r="G79" s="209" t="s">
        <v>878</v>
      </c>
      <c r="H79" s="1344">
        <v>4770155182.1499996</v>
      </c>
      <c r="K79" s="258">
        <v>8</v>
      </c>
      <c r="L79" s="209" t="s">
        <v>879</v>
      </c>
      <c r="M79" s="1344">
        <v>568222027.25</v>
      </c>
      <c r="N79" s="189"/>
      <c r="O79" s="185"/>
      <c r="P79" s="185"/>
    </row>
    <row r="80" spans="1:17">
      <c r="A80" s="188"/>
      <c r="D80" s="209" t="s">
        <v>880</v>
      </c>
      <c r="E80" s="1344">
        <v>220731945.37</v>
      </c>
      <c r="G80" s="209" t="s">
        <v>694</v>
      </c>
      <c r="H80" s="1344">
        <v>1210816347.21</v>
      </c>
      <c r="K80" s="258">
        <v>9</v>
      </c>
      <c r="L80" s="209" t="s">
        <v>881</v>
      </c>
      <c r="M80" s="1344">
        <v>531564283.54000002</v>
      </c>
      <c r="N80" s="189"/>
      <c r="O80" s="185"/>
      <c r="P80" s="185"/>
    </row>
    <row r="81" spans="1:16">
      <c r="A81" s="188"/>
      <c r="D81" s="209" t="s">
        <v>882</v>
      </c>
      <c r="E81" s="1344">
        <v>231162582.08000001</v>
      </c>
      <c r="G81" s="209" t="s">
        <v>883</v>
      </c>
      <c r="H81" s="1344">
        <v>592233212.75999999</v>
      </c>
      <c r="K81" s="258">
        <v>10</v>
      </c>
      <c r="L81" s="209" t="s">
        <v>884</v>
      </c>
      <c r="M81" s="1344">
        <v>796691715.95000005</v>
      </c>
      <c r="N81" s="189"/>
      <c r="O81" s="185"/>
      <c r="P81" s="185"/>
    </row>
    <row r="82" spans="1:16">
      <c r="A82" s="188"/>
      <c r="B82" s="1095"/>
      <c r="D82" s="209" t="s">
        <v>885</v>
      </c>
      <c r="E82" s="1344">
        <v>1320909338.75</v>
      </c>
      <c r="G82" s="209" t="s">
        <v>886</v>
      </c>
      <c r="H82" s="1344">
        <v>286194918.24000001</v>
      </c>
      <c r="K82" s="258">
        <v>12</v>
      </c>
      <c r="L82" s="209" t="s">
        <v>887</v>
      </c>
      <c r="M82" s="1344">
        <v>765821553.09000003</v>
      </c>
      <c r="N82" s="189"/>
      <c r="O82" s="185"/>
      <c r="P82" s="185"/>
    </row>
    <row r="83" spans="1:16">
      <c r="A83" s="188"/>
      <c r="D83" s="209" t="s">
        <v>886</v>
      </c>
      <c r="E83" s="1344">
        <v>286194918.24000001</v>
      </c>
      <c r="G83" s="209" t="s">
        <v>824</v>
      </c>
      <c r="H83" s="1344">
        <v>231162582.08000001</v>
      </c>
      <c r="K83" s="258">
        <v>13</v>
      </c>
      <c r="L83" s="209" t="s">
        <v>888</v>
      </c>
      <c r="M83" s="1344">
        <v>585935000.46000004</v>
      </c>
      <c r="N83" s="189"/>
      <c r="O83" s="185"/>
      <c r="P83" s="185"/>
    </row>
    <row r="84" spans="1:16">
      <c r="A84" s="2231" t="s">
        <v>889</v>
      </c>
      <c r="B84" s="2233"/>
      <c r="C84" s="186"/>
      <c r="D84" s="209" t="s">
        <v>890</v>
      </c>
      <c r="E84" s="1344">
        <v>143102159.77000001</v>
      </c>
      <c r="G84" s="209" t="s">
        <v>891</v>
      </c>
      <c r="H84" s="1344">
        <v>209837828.00999999</v>
      </c>
      <c r="K84" s="258">
        <v>11</v>
      </c>
      <c r="L84" s="209" t="s">
        <v>892</v>
      </c>
      <c r="M84" s="1344">
        <v>142550007.87</v>
      </c>
      <c r="N84" s="1099">
        <f>+M103+M76</f>
        <v>975052504.16999996</v>
      </c>
      <c r="O84" s="185"/>
      <c r="P84" s="185"/>
    </row>
    <row r="85" spans="1:16">
      <c r="A85" s="197" t="s">
        <v>893</v>
      </c>
      <c r="B85" s="197" t="s">
        <v>845</v>
      </c>
      <c r="C85" s="186"/>
      <c r="D85" s="209" t="s">
        <v>235</v>
      </c>
      <c r="E85" s="1348">
        <f>SUM(E75:E84)</f>
        <v>34538897860.049995</v>
      </c>
      <c r="G85" s="209" t="s">
        <v>894</v>
      </c>
      <c r="H85" s="1344">
        <v>186829534.44</v>
      </c>
      <c r="K85" s="258">
        <v>15</v>
      </c>
      <c r="L85" s="209" t="s">
        <v>895</v>
      </c>
      <c r="M85" s="1344">
        <v>171135577.59999999</v>
      </c>
      <c r="N85" s="189"/>
      <c r="O85" s="185"/>
      <c r="P85" s="185"/>
    </row>
    <row r="86" spans="1:16">
      <c r="A86" s="241" t="s">
        <v>896</v>
      </c>
      <c r="B86" s="1242">
        <v>1157294490809.5701</v>
      </c>
      <c r="C86" s="186"/>
      <c r="D86" s="187"/>
      <c r="E86" s="187"/>
      <c r="G86" s="209" t="s">
        <v>890</v>
      </c>
      <c r="H86" s="1344">
        <v>143102159.77000001</v>
      </c>
      <c r="K86" s="258">
        <v>14</v>
      </c>
      <c r="L86" s="209" t="s">
        <v>691</v>
      </c>
      <c r="M86" s="1344">
        <v>353305327.04000002</v>
      </c>
      <c r="N86" s="189"/>
      <c r="O86" s="185"/>
      <c r="P86" s="185"/>
    </row>
    <row r="87" spans="1:16">
      <c r="A87" s="241" t="s">
        <v>216</v>
      </c>
      <c r="B87" s="1242">
        <v>85903129377.960007</v>
      </c>
      <c r="D87" s="187"/>
      <c r="E87" s="187"/>
      <c r="G87" s="209" t="s">
        <v>897</v>
      </c>
      <c r="H87" s="1344">
        <v>125880699.20999999</v>
      </c>
      <c r="K87" s="258">
        <v>16</v>
      </c>
      <c r="L87" s="209" t="s">
        <v>898</v>
      </c>
      <c r="M87" s="1344">
        <v>254730852.94999999</v>
      </c>
      <c r="N87" s="189"/>
      <c r="O87" s="185"/>
      <c r="P87" s="185"/>
    </row>
    <row r="88" spans="1:16">
      <c r="A88" s="241" t="s">
        <v>899</v>
      </c>
      <c r="B88" s="1242">
        <v>50811497187.029999</v>
      </c>
      <c r="D88" s="209" t="s">
        <v>900</v>
      </c>
      <c r="E88" s="1343" t="str">
        <f>+E74</f>
        <v>Ene- Abril 2025</v>
      </c>
      <c r="G88" s="209" t="s">
        <v>901</v>
      </c>
      <c r="H88" s="1344">
        <v>42394913.659999996</v>
      </c>
      <c r="K88" s="258">
        <v>19</v>
      </c>
      <c r="L88" s="209" t="s">
        <v>902</v>
      </c>
      <c r="M88" s="1347"/>
      <c r="N88" s="189"/>
      <c r="O88" s="185"/>
      <c r="P88" s="185"/>
    </row>
    <row r="89" spans="1:16">
      <c r="A89" s="241" t="s">
        <v>214</v>
      </c>
      <c r="B89" s="1242">
        <v>249877774.15000001</v>
      </c>
      <c r="D89" s="209" t="s">
        <v>903</v>
      </c>
      <c r="E89" s="1344">
        <f>30673640450.11+1804462952.44</f>
        <v>32478103402.549999</v>
      </c>
      <c r="G89" s="209" t="s">
        <v>904</v>
      </c>
      <c r="H89" s="1344">
        <v>73104440.299999997</v>
      </c>
      <c r="K89" s="258">
        <v>17</v>
      </c>
      <c r="L89" s="209" t="s">
        <v>905</v>
      </c>
      <c r="M89" s="1344">
        <v>361353193.30000001</v>
      </c>
      <c r="N89" s="189"/>
      <c r="O89" s="185"/>
      <c r="P89" s="185"/>
    </row>
    <row r="90" spans="1:16">
      <c r="A90" s="241" t="s">
        <v>217</v>
      </c>
      <c r="B90" s="1242">
        <v>161208251958.686</v>
      </c>
      <c r="D90" s="209" t="s">
        <v>906</v>
      </c>
      <c r="E90" s="1344">
        <v>620497663.76999998</v>
      </c>
      <c r="G90" s="209" t="s">
        <v>907</v>
      </c>
      <c r="H90" s="1349"/>
      <c r="K90" s="258">
        <v>18</v>
      </c>
      <c r="L90" s="209" t="s">
        <v>908</v>
      </c>
      <c r="M90" s="1347"/>
      <c r="N90" s="189"/>
      <c r="O90" s="185"/>
      <c r="P90" s="185"/>
    </row>
    <row r="91" spans="1:16">
      <c r="A91" s="197" t="s">
        <v>809</v>
      </c>
      <c r="B91" s="256">
        <f>SUM(B86:B90)</f>
        <v>1455467247107.396</v>
      </c>
      <c r="C91" s="1468"/>
      <c r="D91" s="209" t="s">
        <v>909</v>
      </c>
      <c r="E91" s="1344">
        <v>1600777048.78</v>
      </c>
      <c r="G91" s="209" t="s">
        <v>910</v>
      </c>
      <c r="H91" s="1349"/>
      <c r="K91" s="258">
        <v>20</v>
      </c>
      <c r="L91" s="209" t="s">
        <v>911</v>
      </c>
      <c r="M91" s="1347"/>
      <c r="N91" s="189"/>
      <c r="O91" s="185"/>
      <c r="P91" s="185"/>
    </row>
    <row r="92" spans="1:16">
      <c r="A92" s="188"/>
      <c r="B92" s="1317"/>
      <c r="D92" s="209" t="s">
        <v>912</v>
      </c>
      <c r="E92" s="1344">
        <v>229444643.91999999</v>
      </c>
      <c r="G92" s="209" t="s">
        <v>913</v>
      </c>
      <c r="H92" s="1348">
        <f>SUM(H75:H91)</f>
        <v>34538897860.050011</v>
      </c>
      <c r="K92" s="258">
        <v>21</v>
      </c>
      <c r="L92" s="209" t="s">
        <v>914</v>
      </c>
      <c r="M92" s="1344">
        <v>52782248.979999997</v>
      </c>
      <c r="N92" s="189"/>
      <c r="O92" s="185"/>
      <c r="P92" s="185"/>
    </row>
    <row r="93" spans="1:16">
      <c r="A93" s="188"/>
      <c r="B93" s="1095">
        <f>+B91-B59</f>
        <v>-3.90625E-3</v>
      </c>
      <c r="D93" s="209" t="s">
        <v>915</v>
      </c>
      <c r="E93" s="1346"/>
      <c r="G93" s="186"/>
      <c r="H93" s="186"/>
      <c r="K93" s="258">
        <v>22</v>
      </c>
      <c r="L93" s="209" t="s">
        <v>916</v>
      </c>
      <c r="M93" s="1347"/>
      <c r="N93" s="1165"/>
      <c r="O93" s="185"/>
      <c r="P93" s="185"/>
    </row>
    <row r="94" spans="1:16">
      <c r="A94" s="188"/>
      <c r="D94" s="209" t="s">
        <v>917</v>
      </c>
      <c r="E94" s="1346"/>
      <c r="G94" s="186"/>
      <c r="H94" s="186"/>
      <c r="K94" s="258">
        <v>23</v>
      </c>
      <c r="L94" s="209" t="s">
        <v>918</v>
      </c>
      <c r="M94" s="1347"/>
      <c r="O94" s="185"/>
      <c r="P94" s="185"/>
    </row>
    <row r="95" spans="1:16">
      <c r="D95" s="209" t="s">
        <v>919</v>
      </c>
      <c r="E95" s="1348">
        <f>SUM(E89:E94)</f>
        <v>34928822759.019997</v>
      </c>
      <c r="F95" s="250"/>
      <c r="G95" s="186"/>
      <c r="H95" s="250"/>
      <c r="K95" s="258">
        <v>24</v>
      </c>
      <c r="L95" s="209" t="s">
        <v>920</v>
      </c>
      <c r="M95" s="1347"/>
      <c r="N95" s="189"/>
      <c r="O95" s="185"/>
      <c r="P95" s="185"/>
    </row>
    <row r="96" spans="1:16">
      <c r="G96" s="210" t="s">
        <v>921</v>
      </c>
      <c r="H96" s="1343" t="str">
        <f>+E74</f>
        <v>Ene- Abril 2025</v>
      </c>
      <c r="K96" s="258">
        <v>25</v>
      </c>
      <c r="L96" s="209" t="s">
        <v>922</v>
      </c>
      <c r="M96" s="1347"/>
      <c r="N96" s="189"/>
      <c r="O96" s="185"/>
      <c r="P96" s="185"/>
    </row>
    <row r="97" spans="1:16">
      <c r="D97" s="210" t="s">
        <v>426</v>
      </c>
      <c r="E97" s="1343" t="s">
        <v>923</v>
      </c>
      <c r="F97" s="186"/>
      <c r="G97" s="209" t="s">
        <v>924</v>
      </c>
      <c r="H97" s="1344">
        <v>3358327662.4299998</v>
      </c>
      <c r="K97" s="258">
        <v>26</v>
      </c>
      <c r="L97" s="209" t="s">
        <v>925</v>
      </c>
      <c r="M97" s="1347"/>
      <c r="N97" s="189"/>
      <c r="O97" s="185"/>
      <c r="P97" s="185"/>
    </row>
    <row r="98" spans="1:16">
      <c r="D98" s="209" t="s">
        <v>926</v>
      </c>
      <c r="E98" s="1344">
        <v>155158678.97999999</v>
      </c>
      <c r="F98" s="249">
        <f>+E98-155158678.98</f>
        <v>0</v>
      </c>
      <c r="G98" s="209" t="s">
        <v>912</v>
      </c>
      <c r="H98" s="1344">
        <v>146133909.41</v>
      </c>
      <c r="K98" s="258">
        <v>27</v>
      </c>
      <c r="L98" s="209" t="s">
        <v>927</v>
      </c>
      <c r="M98" s="1347"/>
      <c r="N98" s="189"/>
      <c r="O98" s="185"/>
      <c r="P98" s="185"/>
    </row>
    <row r="99" spans="1:16">
      <c r="D99" s="209" t="s">
        <v>928</v>
      </c>
      <c r="E99" s="1344">
        <v>178544444.47</v>
      </c>
      <c r="G99" s="209" t="s">
        <v>929</v>
      </c>
      <c r="H99" s="1344">
        <v>2810540.23</v>
      </c>
      <c r="K99" s="258">
        <v>28</v>
      </c>
      <c r="L99" s="209" t="s">
        <v>930</v>
      </c>
      <c r="M99" s="1347"/>
      <c r="N99" s="189"/>
      <c r="O99" s="185"/>
      <c r="P99" s="185"/>
    </row>
    <row r="100" spans="1:16">
      <c r="D100" s="209" t="s">
        <v>931</v>
      </c>
      <c r="E100" s="1344">
        <v>58233819.780000001</v>
      </c>
      <c r="G100" s="209" t="s">
        <v>919</v>
      </c>
      <c r="H100" s="1348">
        <f>SUM(H97:H99)</f>
        <v>3507272112.0699997</v>
      </c>
      <c r="K100" s="258">
        <v>29</v>
      </c>
      <c r="L100" s="209" t="s">
        <v>932</v>
      </c>
      <c r="M100" s="1347"/>
      <c r="N100" s="189"/>
      <c r="O100" s="185"/>
      <c r="P100" s="185"/>
    </row>
    <row r="101" spans="1:16">
      <c r="D101" s="209" t="s">
        <v>933</v>
      </c>
      <c r="E101" s="1344">
        <v>195850735.19999999</v>
      </c>
      <c r="G101" s="186"/>
      <c r="K101" s="258" t="s">
        <v>235</v>
      </c>
      <c r="L101" s="209" t="s">
        <v>235</v>
      </c>
      <c r="M101" s="1350">
        <f>SUM(M72:M100)</f>
        <v>33098601066.32</v>
      </c>
      <c r="N101" s="1099"/>
      <c r="O101" s="185"/>
      <c r="P101" s="185"/>
    </row>
    <row r="102" spans="1:16">
      <c r="D102" s="209" t="s">
        <v>934</v>
      </c>
      <c r="E102" s="1344">
        <v>194201124.71000001</v>
      </c>
      <c r="I102" s="187"/>
      <c r="J102" s="250"/>
      <c r="M102" s="1165">
        <f>73003883482.84-M101</f>
        <v>39905282416.519997</v>
      </c>
      <c r="N102" s="1099"/>
      <c r="O102" s="185"/>
      <c r="P102" s="185"/>
    </row>
    <row r="103" spans="1:16">
      <c r="B103" s="1095"/>
      <c r="D103" s="209" t="s">
        <v>919</v>
      </c>
      <c r="E103" s="1348">
        <f>SUM(E98:E102)</f>
        <v>781988803.1400001</v>
      </c>
      <c r="F103" s="250"/>
      <c r="H103" s="1099"/>
      <c r="I103" s="189"/>
      <c r="J103" s="185"/>
      <c r="K103" s="185"/>
      <c r="L103" s="185"/>
      <c r="M103" s="185"/>
      <c r="N103" s="185"/>
      <c r="O103" s="185"/>
      <c r="P103" s="185"/>
    </row>
    <row r="104" spans="1:16">
      <c r="B104" s="1095"/>
      <c r="E104" s="187"/>
      <c r="I104" s="187"/>
      <c r="J104" s="189"/>
      <c r="K104" s="189"/>
      <c r="L104" s="185"/>
      <c r="M104" s="185"/>
      <c r="N104" s="185"/>
      <c r="O104" s="185"/>
      <c r="P104" s="185"/>
    </row>
    <row r="105" spans="1:16">
      <c r="A105" s="187"/>
      <c r="B105" s="250"/>
      <c r="C105" s="187"/>
      <c r="E105" s="249">
        <f>+E103+E95</f>
        <v>35710811562.159996</v>
      </c>
      <c r="I105" s="187"/>
      <c r="J105" s="189"/>
      <c r="K105" s="189"/>
      <c r="L105" s="185"/>
      <c r="M105" s="185"/>
      <c r="N105" s="185"/>
      <c r="O105" s="185"/>
      <c r="P105" s="185"/>
    </row>
    <row r="106" spans="1:16">
      <c r="A106" s="187"/>
      <c r="B106" s="187"/>
      <c r="C106" s="187"/>
      <c r="E106" s="187"/>
      <c r="I106" s="187"/>
      <c r="J106" s="189"/>
      <c r="K106" s="189"/>
      <c r="L106" s="185"/>
      <c r="M106" s="185"/>
      <c r="N106" s="185"/>
      <c r="O106" s="185"/>
      <c r="P106" s="185"/>
    </row>
    <row r="107" spans="1:16">
      <c r="A107" s="187"/>
      <c r="B107" s="187"/>
      <c r="C107" s="187"/>
      <c r="E107" s="187"/>
      <c r="I107" s="187"/>
      <c r="J107" s="189"/>
      <c r="K107" s="189"/>
      <c r="L107" s="185"/>
      <c r="M107" s="185"/>
      <c r="N107" s="185"/>
      <c r="O107" s="185"/>
      <c r="P107" s="185"/>
    </row>
    <row r="108" spans="1:16">
      <c r="A108" s="187"/>
      <c r="B108" s="187"/>
      <c r="C108" s="187"/>
      <c r="E108" s="187"/>
      <c r="I108" s="187"/>
      <c r="J108" s="189"/>
      <c r="K108" s="189"/>
      <c r="L108" s="185"/>
      <c r="M108" s="185"/>
      <c r="N108" s="185"/>
      <c r="O108" s="185"/>
      <c r="P108" s="185"/>
    </row>
    <row r="109" spans="1:16">
      <c r="A109" s="187"/>
      <c r="B109" s="187"/>
      <c r="C109" s="187"/>
      <c r="E109" s="187"/>
      <c r="I109" s="187"/>
      <c r="J109" s="189"/>
      <c r="K109" s="189"/>
      <c r="L109" s="185"/>
      <c r="M109" s="185"/>
      <c r="N109" s="185"/>
      <c r="O109" s="185"/>
      <c r="P109" s="185"/>
    </row>
    <row r="110" spans="1:16">
      <c r="A110" s="187"/>
      <c r="B110" s="187"/>
      <c r="C110" s="187"/>
      <c r="E110" s="187"/>
      <c r="I110" s="187"/>
      <c r="J110" s="189"/>
      <c r="K110" s="189"/>
      <c r="L110" s="185"/>
      <c r="M110" s="185"/>
      <c r="N110" s="185"/>
      <c r="O110" s="185"/>
      <c r="P110" s="185"/>
    </row>
    <row r="111" spans="1:16">
      <c r="A111" s="187"/>
      <c r="B111" s="187"/>
      <c r="C111" s="187"/>
      <c r="E111" s="187"/>
      <c r="I111" s="187"/>
      <c r="J111" s="189"/>
      <c r="K111" s="189"/>
      <c r="L111" s="185"/>
      <c r="M111" s="185"/>
      <c r="N111" s="185"/>
      <c r="O111" s="185"/>
      <c r="P111" s="185"/>
    </row>
    <row r="112" spans="1:16">
      <c r="A112" s="187"/>
      <c r="B112" s="187"/>
      <c r="C112" s="187"/>
      <c r="E112" s="187"/>
      <c r="I112" s="187"/>
      <c r="J112" s="189"/>
      <c r="K112" s="189"/>
      <c r="L112" s="185"/>
      <c r="M112" s="185"/>
      <c r="N112" s="185"/>
      <c r="O112" s="185"/>
      <c r="P112" s="185"/>
    </row>
    <row r="113" spans="1:16">
      <c r="A113" s="187"/>
      <c r="B113" s="187"/>
      <c r="C113" s="187"/>
      <c r="E113" s="187"/>
      <c r="I113" s="187"/>
      <c r="J113" s="189"/>
      <c r="K113" s="189"/>
      <c r="L113" s="185"/>
      <c r="M113" s="185"/>
      <c r="N113" s="185"/>
      <c r="O113" s="185"/>
      <c r="P113" s="185"/>
    </row>
    <row r="114" spans="1:16">
      <c r="A114" s="187"/>
      <c r="B114" s="187"/>
      <c r="C114" s="187"/>
      <c r="E114" s="187"/>
      <c r="I114" s="187"/>
      <c r="J114" s="189"/>
      <c r="K114" s="189"/>
      <c r="L114" s="185"/>
      <c r="M114" s="185"/>
      <c r="N114" s="185"/>
      <c r="O114" s="185"/>
      <c r="P114" s="185"/>
    </row>
    <row r="115" spans="1:16">
      <c r="A115" s="187"/>
      <c r="B115" s="187"/>
      <c r="C115" s="187"/>
    </row>
    <row r="116" spans="1:16">
      <c r="A116" s="187"/>
      <c r="B116" s="187"/>
      <c r="C116" s="187"/>
    </row>
  </sheetData>
  <sortState xmlns:xlrd2="http://schemas.microsoft.com/office/spreadsheetml/2017/richdata2" ref="G75:H91">
    <sortCondition descending="1" ref="H75:H91"/>
  </sortState>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A10:A13">
    <cfRule type="cellIs" dxfId="431" priority="55" operator="equal">
      <formula>0</formula>
    </cfRule>
  </conditionalFormatting>
  <conditionalFormatting sqref="A86:B90">
    <cfRule type="cellIs" dxfId="430" priority="18" operator="equal">
      <formula>0</formula>
    </cfRule>
  </conditionalFormatting>
  <conditionalFormatting sqref="B10:B12">
    <cfRule type="cellIs" dxfId="429" priority="23" operator="equal">
      <formula>0</formula>
    </cfRule>
  </conditionalFormatting>
  <conditionalFormatting sqref="B33">
    <cfRule type="cellIs" dxfId="428" priority="44" operator="equal">
      <formula>0</formula>
    </cfRule>
  </conditionalFormatting>
  <conditionalFormatting sqref="B49:B51">
    <cfRule type="cellIs" dxfId="427" priority="26" operator="equal">
      <formula>0</formula>
    </cfRule>
  </conditionalFormatting>
  <conditionalFormatting sqref="B56:B61">
    <cfRule type="cellIs" dxfId="426" priority="15" operator="equal">
      <formula>0</formula>
    </cfRule>
  </conditionalFormatting>
  <conditionalFormatting sqref="B65:B70">
    <cfRule type="cellIs" dxfId="425" priority="45" operator="equal">
      <formula>0</formula>
    </cfRule>
  </conditionalFormatting>
  <conditionalFormatting sqref="B7:C7">
    <cfRule type="cellIs" dxfId="424" priority="41" operator="equal">
      <formula>0</formula>
    </cfRule>
  </conditionalFormatting>
  <conditionalFormatting sqref="B43:D44">
    <cfRule type="cellIs" dxfId="423" priority="33" operator="equal">
      <formula>0</formula>
    </cfRule>
  </conditionalFormatting>
  <conditionalFormatting sqref="C10:C13">
    <cfRule type="cellIs" dxfId="422" priority="56" operator="equal">
      <formula>0</formula>
    </cfRule>
  </conditionalFormatting>
  <conditionalFormatting sqref="C21">
    <cfRule type="cellIs" dxfId="421" priority="7" operator="equal">
      <formula>0</formula>
    </cfRule>
  </conditionalFormatting>
  <conditionalFormatting sqref="C18:E20">
    <cfRule type="cellIs" dxfId="420" priority="16" operator="equal">
      <formula>0</formula>
    </cfRule>
  </conditionalFormatting>
  <conditionalFormatting sqref="C26:C28">
    <cfRule type="cellIs" dxfId="419" priority="37" operator="equal">
      <formula>0</formula>
    </cfRule>
  </conditionalFormatting>
  <conditionalFormatting sqref="C37:E38">
    <cfRule type="cellIs" dxfId="418" priority="4" operator="equal">
      <formula>0</formula>
    </cfRule>
  </conditionalFormatting>
  <conditionalFormatting sqref="D12">
    <cfRule type="cellIs" dxfId="417" priority="5" operator="equal">
      <formula>0</formula>
    </cfRule>
  </conditionalFormatting>
  <conditionalFormatting sqref="D10:F11">
    <cfRule type="cellIs" dxfId="416" priority="39" operator="equal">
      <formula>0</formula>
    </cfRule>
  </conditionalFormatting>
  <conditionalFormatting sqref="E77">
    <cfRule type="cellIs" dxfId="415" priority="31" operator="equal">
      <formula>0</formula>
    </cfRule>
  </conditionalFormatting>
  <conditionalFormatting sqref="E89:E92">
    <cfRule type="cellIs" dxfId="414" priority="30" operator="equal">
      <formula>0</formula>
    </cfRule>
  </conditionalFormatting>
  <conditionalFormatting sqref="E93:E94">
    <cfRule type="cellIs" dxfId="413" priority="11" operator="equal">
      <formula>0</formula>
    </cfRule>
  </conditionalFormatting>
  <conditionalFormatting sqref="E98:E102">
    <cfRule type="cellIs" dxfId="412" priority="10" operator="equal">
      <formula>0</formula>
    </cfRule>
  </conditionalFormatting>
  <conditionalFormatting sqref="F51:G66">
    <cfRule type="cellIs" dxfId="411" priority="6" operator="equal">
      <formula>0</formula>
    </cfRule>
  </conditionalFormatting>
  <conditionalFormatting sqref="I13:M13">
    <cfRule type="cellIs" dxfId="410" priority="28" operator="equal">
      <formula>0</formula>
    </cfRule>
  </conditionalFormatting>
  <conditionalFormatting sqref="J18:K27">
    <cfRule type="cellIs" dxfId="409" priority="14" operator="equal">
      <formula>0</formula>
    </cfRule>
  </conditionalFormatting>
  <conditionalFormatting sqref="J32:K40">
    <cfRule type="cellIs" dxfId="408" priority="13" operator="equal">
      <formula>0</formula>
    </cfRule>
  </conditionalFormatting>
  <conditionalFormatting sqref="K29">
    <cfRule type="cellIs" dxfId="407" priority="25" operator="greaterThan">
      <formula>0</formula>
    </cfRule>
  </conditionalFormatting>
  <conditionalFormatting sqref="K42">
    <cfRule type="cellIs" dxfId="406" priority="24" operator="greaterThan">
      <formula>0</formula>
    </cfRule>
  </conditionalFormatting>
  <conditionalFormatting sqref="L53:M61">
    <cfRule type="cellIs" dxfId="405" priority="29" operator="equal">
      <formula>0</formula>
    </cfRule>
  </conditionalFormatting>
  <conditionalFormatting sqref="L63:M63">
    <cfRule type="cellIs" dxfId="404" priority="27" operator="greaterThan">
      <formula>0</formula>
    </cfRule>
  </conditionalFormatting>
  <conditionalFormatting sqref="M72:M77 E75:E76 H75:H89 E78:E84 M79:M87 M89 E89:E92 H97:H99">
    <cfRule type="cellIs" dxfId="403" priority="12" operator="equal">
      <formula>0</formula>
    </cfRule>
  </conditionalFormatting>
  <conditionalFormatting sqref="P5:P6">
    <cfRule type="cellIs" dxfId="402" priority="51" operator="equal">
      <formula>0</formula>
    </cfRule>
  </conditionalFormatting>
  <conditionalFormatting sqref="P8:P9">
    <cfRule type="cellIs" dxfId="401" priority="54" operator="equal">
      <formula>0</formula>
    </cfRule>
  </conditionalFormatting>
  <conditionalFormatting sqref="M92">
    <cfRule type="cellIs" dxfId="400" priority="3" operator="equal">
      <formula>0</formula>
    </cfRule>
  </conditionalFormatting>
  <conditionalFormatting sqref="D26:E28">
    <cfRule type="cellIs" dxfId="399"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0">
    <tabColor theme="3" tint="0.59999389629810485"/>
    <pageSetUpPr fitToPage="1"/>
  </sheetPr>
  <dimension ref="A1:AF282"/>
  <sheetViews>
    <sheetView showGridLines="0" view="pageBreakPreview" zoomScale="55" zoomScaleNormal="85" zoomScaleSheetLayoutView="55" workbookViewId="0">
      <pane xSplit="1" ySplit="5" topLeftCell="B6" activePane="bottomRight" state="frozen"/>
      <selection pane="bottomRight" activeCell="A3" sqref="A3"/>
      <selection pane="bottomLeft" activeCell="A6" sqref="A6"/>
      <selection pane="topRight" activeCell="B1" sqref="B1"/>
    </sheetView>
  </sheetViews>
  <sheetFormatPr defaultColWidth="11.42578125" defaultRowHeight="15"/>
  <cols>
    <col min="1" max="1" width="21.7109375" style="48" customWidth="1"/>
    <col min="2" max="2" width="35.5703125" style="48" customWidth="1"/>
    <col min="3" max="4" width="33.28515625" style="48" customWidth="1"/>
    <col min="5" max="5" width="27.28515625" style="48" hidden="1" customWidth="1"/>
    <col min="6" max="6" width="33.28515625" style="48" customWidth="1"/>
    <col min="7" max="7" width="42.7109375" style="48" bestFit="1" customWidth="1"/>
    <col min="8" max="8" width="34.42578125" style="48" customWidth="1"/>
    <col min="9" max="9" width="37.140625" style="48" customWidth="1"/>
    <col min="10" max="10" width="29.85546875" style="48" customWidth="1"/>
    <col min="11" max="11" width="34.140625" style="48" customWidth="1"/>
    <col min="13" max="13" width="29.7109375" bestFit="1" customWidth="1"/>
    <col min="14" max="14" width="22.5703125" customWidth="1"/>
    <col min="15" max="15" width="15" bestFit="1" customWidth="1"/>
    <col min="16" max="16" width="36.28515625" bestFit="1" customWidth="1"/>
    <col min="17" max="17" width="44.28515625" bestFit="1" customWidth="1"/>
    <col min="18" max="18" width="55.7109375" bestFit="1" customWidth="1"/>
    <col min="19" max="19" width="32.85546875" bestFit="1" customWidth="1"/>
    <col min="20" max="20" width="35.42578125" bestFit="1" customWidth="1"/>
    <col min="21" max="21" width="32.140625" bestFit="1" customWidth="1"/>
    <col min="22" max="22" width="22.5703125" customWidth="1"/>
    <col min="23" max="23" width="38.5703125" bestFit="1" customWidth="1"/>
    <col min="24" max="24" width="36.5703125" bestFit="1" customWidth="1"/>
    <col min="25" max="25" width="40.7109375" bestFit="1" customWidth="1"/>
    <col min="26" max="26" width="60.140625" bestFit="1" customWidth="1"/>
    <col min="27" max="27" width="48.7109375" bestFit="1" customWidth="1"/>
    <col min="28" max="28" width="39.5703125" bestFit="1" customWidth="1"/>
    <col min="29" max="29" width="42.42578125" bestFit="1" customWidth="1"/>
    <col min="30" max="30" width="17" bestFit="1" customWidth="1"/>
    <col min="31" max="31" width="22.5703125" customWidth="1"/>
  </cols>
  <sheetData>
    <row r="1" spans="1:32" s="540" customFormat="1" ht="89.25" customHeight="1">
      <c r="A1" s="2262" t="s">
        <v>935</v>
      </c>
      <c r="B1" s="2263"/>
      <c r="C1" s="2263"/>
      <c r="D1" s="2263"/>
      <c r="E1" s="2263"/>
      <c r="F1" s="2263"/>
      <c r="G1" s="2263"/>
      <c r="H1" s="2263"/>
      <c r="I1" s="2263"/>
      <c r="J1" s="2263"/>
      <c r="K1" s="2264"/>
    </row>
    <row r="2" spans="1:32" s="540" customFormat="1" ht="30.75" customHeight="1" thickBot="1">
      <c r="A2" s="2274" t="s">
        <v>936</v>
      </c>
      <c r="B2" s="2275"/>
      <c r="C2" s="2275"/>
      <c r="D2" s="2275"/>
      <c r="E2" s="2275"/>
      <c r="F2" s="2275"/>
      <c r="G2" s="2275"/>
      <c r="H2" s="2275"/>
      <c r="I2" s="2275"/>
      <c r="J2" s="2275"/>
      <c r="K2" s="2276"/>
    </row>
    <row r="3" spans="1:32" ht="13.5" customHeight="1">
      <c r="A3" s="397" t="s">
        <v>937</v>
      </c>
      <c r="B3" s="397"/>
      <c r="C3" s="397"/>
      <c r="D3" s="397"/>
      <c r="E3" s="397"/>
      <c r="F3" s="397"/>
      <c r="G3" s="397"/>
      <c r="H3" s="397"/>
      <c r="I3" s="397"/>
      <c r="J3" s="397"/>
      <c r="K3" s="397"/>
      <c r="M3" s="540"/>
      <c r="N3" s="540"/>
      <c r="O3" s="540"/>
      <c r="P3" s="540"/>
      <c r="Q3" s="540"/>
      <c r="R3" s="540"/>
      <c r="S3" s="540"/>
      <c r="T3" s="540"/>
      <c r="U3" s="540"/>
      <c r="V3" s="540"/>
      <c r="W3" s="540"/>
      <c r="X3" s="540"/>
      <c r="Y3" s="540"/>
      <c r="Z3" s="540"/>
      <c r="AA3" s="540"/>
      <c r="AB3" s="540"/>
      <c r="AC3" s="540"/>
      <c r="AD3" s="540"/>
      <c r="AE3" s="540"/>
      <c r="AF3" s="540"/>
    </row>
    <row r="4" spans="1:32" s="230" customFormat="1" ht="42.75" customHeight="1">
      <c r="A4" s="828" t="s">
        <v>937</v>
      </c>
      <c r="B4" s="2271" t="s">
        <v>938</v>
      </c>
      <c r="C4" s="2272"/>
      <c r="D4" s="2272"/>
      <c r="E4" s="2272"/>
      <c r="F4" s="2272"/>
      <c r="G4" s="2273"/>
      <c r="H4" s="2268" t="s">
        <v>939</v>
      </c>
      <c r="I4" s="2269"/>
      <c r="J4" s="2269"/>
      <c r="K4" s="2270"/>
      <c r="M4" s="540"/>
      <c r="N4" s="540"/>
      <c r="O4" s="540"/>
      <c r="P4" s="540"/>
      <c r="Q4" s="540"/>
      <c r="R4" s="540"/>
      <c r="S4" s="540"/>
      <c r="T4" s="540"/>
      <c r="U4" s="540"/>
      <c r="V4" s="540"/>
      <c r="W4" s="540"/>
      <c r="X4" s="540"/>
      <c r="Y4" s="540"/>
      <c r="Z4" s="540"/>
      <c r="AA4" s="540"/>
      <c r="AB4" s="540"/>
      <c r="AC4" s="540"/>
      <c r="AD4" s="540"/>
      <c r="AE4" s="540"/>
      <c r="AF4" s="540"/>
    </row>
    <row r="5" spans="1:32" s="509" customFormat="1" ht="69" customHeight="1">
      <c r="A5" s="1138" t="s">
        <v>371</v>
      </c>
      <c r="B5" s="1139" t="s">
        <v>758</v>
      </c>
      <c r="C5" s="1139" t="s">
        <v>940</v>
      </c>
      <c r="D5" s="1139" t="s">
        <v>941</v>
      </c>
      <c r="E5" s="1139" t="s">
        <v>942</v>
      </c>
      <c r="F5" s="1139" t="s">
        <v>943</v>
      </c>
      <c r="G5" s="1139" t="s">
        <v>944</v>
      </c>
      <c r="H5" s="1140" t="s">
        <v>945</v>
      </c>
      <c r="I5" s="1140" t="s">
        <v>946</v>
      </c>
      <c r="J5" s="1140" t="s">
        <v>947</v>
      </c>
      <c r="K5" s="1141" t="s">
        <v>948</v>
      </c>
      <c r="M5" s="540"/>
      <c r="N5" s="540"/>
      <c r="O5" s="540"/>
      <c r="P5" s="540"/>
      <c r="Q5" s="540"/>
      <c r="R5" s="540"/>
      <c r="S5" s="540"/>
      <c r="T5" s="540"/>
      <c r="U5" s="540"/>
      <c r="V5" s="540"/>
      <c r="W5" s="540"/>
      <c r="X5" s="540"/>
      <c r="Y5" s="540"/>
      <c r="Z5" s="540"/>
      <c r="AA5" s="540"/>
      <c r="AB5" s="540"/>
      <c r="AC5" s="540"/>
      <c r="AD5" s="540"/>
      <c r="AE5" s="540"/>
      <c r="AF5" s="540"/>
    </row>
    <row r="6" spans="1:32" s="99" customFormat="1" ht="27" customHeight="1">
      <c r="A6" s="829">
        <v>2015</v>
      </c>
      <c r="B6" s="1777">
        <v>79052372049.330002</v>
      </c>
      <c r="C6" s="1777">
        <v>6922811271.25</v>
      </c>
      <c r="D6" s="1777">
        <v>523242913.22000003</v>
      </c>
      <c r="E6" s="1777">
        <v>0</v>
      </c>
      <c r="F6" s="1777">
        <v>355290191.79000002</v>
      </c>
      <c r="G6" s="1381">
        <f t="shared" ref="G6:G16" si="0">+C6+B6+D6+E6+F6</f>
        <v>86853716425.589996</v>
      </c>
      <c r="H6" s="830">
        <v>78537174647.860001</v>
      </c>
      <c r="I6" s="830">
        <v>6892825210.3000002</v>
      </c>
      <c r="J6" s="1046">
        <v>335652778.95999998</v>
      </c>
      <c r="K6" s="1382">
        <f t="shared" ref="K6:K16" si="1">+I6+H6+J6</f>
        <v>85765652637.12001</v>
      </c>
      <c r="M6" s="540"/>
      <c r="N6" s="540"/>
      <c r="O6" s="540"/>
      <c r="P6" s="540"/>
      <c r="Q6" s="540"/>
      <c r="R6" s="540"/>
      <c r="S6" s="540"/>
      <c r="T6" s="540"/>
      <c r="U6" s="540"/>
      <c r="V6" s="540"/>
      <c r="W6" s="540"/>
      <c r="X6" s="540"/>
      <c r="Y6" s="540"/>
      <c r="Z6" s="540"/>
      <c r="AA6" s="540"/>
      <c r="AB6" s="540"/>
      <c r="AC6" s="540"/>
      <c r="AD6" s="540"/>
      <c r="AE6" s="540"/>
      <c r="AF6" s="540"/>
    </row>
    <row r="7" spans="1:32" s="99" customFormat="1" ht="27" customHeight="1">
      <c r="A7" s="829">
        <v>2016</v>
      </c>
      <c r="B7" s="1777">
        <v>89049164221.449997</v>
      </c>
      <c r="C7" s="1777">
        <v>8498167479</v>
      </c>
      <c r="D7" s="1777">
        <v>683922196.33000004</v>
      </c>
      <c r="E7" s="1777">
        <v>0</v>
      </c>
      <c r="F7" s="1777">
        <v>371308008.59999996</v>
      </c>
      <c r="G7" s="1381">
        <f t="shared" si="0"/>
        <v>98602561905.380005</v>
      </c>
      <c r="H7" s="830">
        <v>89080179368.25</v>
      </c>
      <c r="I7" s="830">
        <v>8178603831.1000004</v>
      </c>
      <c r="J7" s="1046">
        <v>328531909.15999991</v>
      </c>
      <c r="K7" s="1382">
        <f t="shared" si="1"/>
        <v>97587315108.51001</v>
      </c>
      <c r="M7" s="540"/>
      <c r="N7" s="540"/>
      <c r="O7" s="540"/>
      <c r="P7" s="540"/>
      <c r="Q7" s="540"/>
      <c r="R7" s="540"/>
      <c r="S7" s="540"/>
      <c r="T7" s="540"/>
      <c r="U7" s="540"/>
      <c r="V7" s="540"/>
      <c r="W7" s="540"/>
      <c r="X7" s="540"/>
      <c r="Y7" s="540"/>
      <c r="Z7" s="540"/>
      <c r="AA7" s="540"/>
      <c r="AB7" s="540"/>
      <c r="AC7" s="540"/>
      <c r="AD7" s="540"/>
      <c r="AE7" s="540"/>
      <c r="AF7" s="540"/>
    </row>
    <row r="8" spans="1:32" s="36" customFormat="1" ht="27" customHeight="1">
      <c r="A8" s="829">
        <v>2017</v>
      </c>
      <c r="B8" s="1777">
        <v>99657751352.690002</v>
      </c>
      <c r="C8" s="1777">
        <v>8861365332.7000008</v>
      </c>
      <c r="D8" s="1777">
        <v>574999895.51999998</v>
      </c>
      <c r="E8" s="1777">
        <v>0</v>
      </c>
      <c r="F8" s="1777">
        <v>665846533.3499999</v>
      </c>
      <c r="G8" s="1381">
        <f t="shared" si="0"/>
        <v>109759963114.26001</v>
      </c>
      <c r="H8" s="830">
        <v>98828071528.779999</v>
      </c>
      <c r="I8" s="830">
        <v>9002153750.7799988</v>
      </c>
      <c r="J8" s="1046">
        <v>558973905.84000003</v>
      </c>
      <c r="K8" s="1382">
        <f t="shared" si="1"/>
        <v>108389199185.39999</v>
      </c>
      <c r="M8"/>
      <c r="N8"/>
      <c r="O8"/>
      <c r="P8"/>
      <c r="Q8"/>
      <c r="R8"/>
      <c r="S8"/>
      <c r="T8"/>
      <c r="U8"/>
      <c r="V8"/>
      <c r="W8"/>
      <c r="X8"/>
      <c r="Y8"/>
      <c r="Z8"/>
      <c r="AA8"/>
      <c r="AB8"/>
      <c r="AC8"/>
      <c r="AD8"/>
      <c r="AE8"/>
      <c r="AF8"/>
    </row>
    <row r="9" spans="1:32" s="36" customFormat="1" ht="27" customHeight="1">
      <c r="A9" s="829">
        <v>2018</v>
      </c>
      <c r="B9" s="1777">
        <v>112854009382.5</v>
      </c>
      <c r="C9" s="1777">
        <v>9303031996.6900005</v>
      </c>
      <c r="D9" s="1777">
        <v>740948848.48000002</v>
      </c>
      <c r="E9" s="1777">
        <v>0</v>
      </c>
      <c r="F9" s="1777">
        <v>793176886.71000004</v>
      </c>
      <c r="G9" s="1381">
        <f t="shared" si="0"/>
        <v>123691167114.38</v>
      </c>
      <c r="H9" s="830">
        <v>112956079448.92</v>
      </c>
      <c r="I9" s="830">
        <v>9656741344.960001</v>
      </c>
      <c r="J9" s="1046">
        <v>758411882.95999992</v>
      </c>
      <c r="K9" s="1382">
        <f t="shared" si="1"/>
        <v>123371232676.84001</v>
      </c>
      <c r="M9" s="230"/>
      <c r="N9" s="230"/>
      <c r="O9" s="230"/>
      <c r="P9" s="230"/>
      <c r="Q9" s="230"/>
      <c r="R9" s="230"/>
      <c r="S9" s="230"/>
      <c r="T9" s="230"/>
      <c r="U9" s="230"/>
      <c r="V9" s="230"/>
      <c r="W9" s="230"/>
      <c r="X9" s="230"/>
      <c r="Y9" s="230"/>
      <c r="Z9" s="230"/>
      <c r="AA9" s="230"/>
      <c r="AB9" s="230"/>
      <c r="AC9" s="230"/>
      <c r="AD9" s="230"/>
      <c r="AE9" s="230"/>
      <c r="AF9" s="230"/>
    </row>
    <row r="10" spans="1:32" s="36" customFormat="1" ht="27" customHeight="1">
      <c r="A10" s="829">
        <v>2019</v>
      </c>
      <c r="B10" s="1777">
        <v>122800092365.86</v>
      </c>
      <c r="C10" s="1777">
        <v>10073865331.02</v>
      </c>
      <c r="D10" s="1777">
        <v>919403278.91999996</v>
      </c>
      <c r="E10" s="1777">
        <v>0</v>
      </c>
      <c r="F10" s="1777">
        <v>910105888.26999998</v>
      </c>
      <c r="G10" s="1381">
        <f t="shared" si="0"/>
        <v>134703466864.07001</v>
      </c>
      <c r="H10" s="830">
        <v>122933736042.72</v>
      </c>
      <c r="I10" s="830">
        <v>10092459380.139999</v>
      </c>
      <c r="J10" s="1046">
        <v>973800800.96999991</v>
      </c>
      <c r="K10" s="1382">
        <f t="shared" si="1"/>
        <v>133999996223.83</v>
      </c>
      <c r="M10" s="509"/>
      <c r="N10" s="509"/>
      <c r="O10"/>
      <c r="P10"/>
      <c r="Q10"/>
      <c r="R10"/>
      <c r="S10"/>
      <c r="T10"/>
      <c r="U10"/>
      <c r="V10"/>
      <c r="W10" s="1096"/>
      <c r="X10"/>
      <c r="Y10"/>
      <c r="Z10"/>
      <c r="AA10"/>
      <c r="AB10"/>
      <c r="AC10"/>
      <c r="AD10"/>
      <c r="AE10"/>
      <c r="AF10"/>
    </row>
    <row r="11" spans="1:32" s="36" customFormat="1" ht="27" customHeight="1">
      <c r="A11" s="829">
        <v>2020</v>
      </c>
      <c r="B11" s="1777">
        <v>121397990565.51001</v>
      </c>
      <c r="C11" s="1777">
        <v>10800531998.65</v>
      </c>
      <c r="D11" s="1777">
        <v>613627915.26999998</v>
      </c>
      <c r="E11" s="1777">
        <v>0</v>
      </c>
      <c r="F11" s="1777">
        <v>1093850418.6700001</v>
      </c>
      <c r="G11" s="1381">
        <f t="shared" si="0"/>
        <v>133906000898.10001</v>
      </c>
      <c r="H11" s="830">
        <v>127588985374.33</v>
      </c>
      <c r="I11" s="830">
        <v>12108569830.129999</v>
      </c>
      <c r="J11" s="1046">
        <v>970014744.09000003</v>
      </c>
      <c r="K11" s="1382">
        <f t="shared" si="1"/>
        <v>140667569948.54999</v>
      </c>
      <c r="O11" s="2256" t="s">
        <v>949</v>
      </c>
      <c r="P11" s="2256"/>
      <c r="Q11" s="2256"/>
      <c r="R11" s="2256"/>
      <c r="S11" s="2256"/>
      <c r="T11" s="2256"/>
      <c r="U11" s="2256"/>
      <c r="V11"/>
      <c r="W11" s="1096"/>
      <c r="X11"/>
      <c r="Y11"/>
      <c r="Z11"/>
      <c r="AA11"/>
      <c r="AB11"/>
      <c r="AC11"/>
      <c r="AD11"/>
      <c r="AE11"/>
      <c r="AF11"/>
    </row>
    <row r="12" spans="1:32" s="36" customFormat="1" ht="27" customHeight="1">
      <c r="A12" s="829">
        <v>2021</v>
      </c>
      <c r="B12" s="1777">
        <v>139642528713.32999</v>
      </c>
      <c r="C12" s="1777">
        <v>17765576332.630001</v>
      </c>
      <c r="D12" s="1777">
        <v>296259368.50999999</v>
      </c>
      <c r="E12" s="1777">
        <v>0</v>
      </c>
      <c r="F12" s="1777">
        <v>1116049433.3899999</v>
      </c>
      <c r="G12" s="1381">
        <f t="shared" si="0"/>
        <v>158820413847.86002</v>
      </c>
      <c r="H12" s="830">
        <v>138998614197.34</v>
      </c>
      <c r="I12" s="830">
        <v>18026955388.759998</v>
      </c>
      <c r="J12" s="1046">
        <v>854040296.11999989</v>
      </c>
      <c r="K12" s="1382">
        <f t="shared" si="1"/>
        <v>157879609882.22</v>
      </c>
      <c r="O12"/>
      <c r="P12"/>
      <c r="Q12"/>
      <c r="R12"/>
      <c r="S12"/>
      <c r="T12"/>
      <c r="U12"/>
      <c r="V12"/>
      <c r="W12" s="1096"/>
      <c r="X12"/>
      <c r="Y12"/>
      <c r="Z12"/>
      <c r="AA12"/>
      <c r="AB12"/>
      <c r="AC12"/>
      <c r="AD12"/>
      <c r="AE12"/>
      <c r="AF12"/>
    </row>
    <row r="13" spans="1:32" s="36" customFormat="1" ht="27" customHeight="1">
      <c r="A13" s="829">
        <v>2022</v>
      </c>
      <c r="B13" s="1777">
        <v>168298548798.17001</v>
      </c>
      <c r="C13" s="1777">
        <v>16860531998.969999</v>
      </c>
      <c r="D13" s="1777">
        <v>739635561.09000003</v>
      </c>
      <c r="E13" s="1777">
        <v>0</v>
      </c>
      <c r="F13" s="1777">
        <v>1927102666.2800002</v>
      </c>
      <c r="G13" s="1381">
        <f t="shared" si="0"/>
        <v>187825819024.51001</v>
      </c>
      <c r="H13" s="830">
        <v>169243218294.51999</v>
      </c>
      <c r="I13" s="830">
        <v>18618103739.529999</v>
      </c>
      <c r="J13" s="1046">
        <v>1581951303.1199999</v>
      </c>
      <c r="K13" s="1382">
        <f t="shared" si="1"/>
        <v>189443273337.16998</v>
      </c>
      <c r="O13" s="1853" t="s">
        <v>937</v>
      </c>
      <c r="P13" s="2257" t="s">
        <v>938</v>
      </c>
      <c r="Q13" s="2258"/>
      <c r="R13" s="2258"/>
      <c r="S13" s="2258"/>
      <c r="T13" s="2258"/>
      <c r="U13" s="2259"/>
      <c r="V13"/>
      <c r="W13" s="2260" t="s">
        <v>950</v>
      </c>
      <c r="X13" s="2260"/>
      <c r="Y13" s="2260"/>
      <c r="Z13" s="2260"/>
      <c r="AA13" s="2260"/>
      <c r="AB13" s="2260"/>
      <c r="AC13" s="2260"/>
      <c r="AD13" s="2260"/>
      <c r="AE13"/>
      <c r="AF13"/>
    </row>
    <row r="14" spans="1:32" s="36" customFormat="1" ht="27" customHeight="1">
      <c r="A14" s="829">
        <v>2023</v>
      </c>
      <c r="B14" s="1777">
        <v>189477241900.83997</v>
      </c>
      <c r="C14" s="1777">
        <v>18395222000</v>
      </c>
      <c r="D14" s="1777">
        <v>1157959255.5799999</v>
      </c>
      <c r="E14" s="1777">
        <v>0</v>
      </c>
      <c r="F14" s="1777">
        <v>2163425494.8099999</v>
      </c>
      <c r="G14" s="1381">
        <f t="shared" si="0"/>
        <v>211193848651.22995</v>
      </c>
      <c r="H14" s="830">
        <v>192205772271.5</v>
      </c>
      <c r="I14" s="830">
        <v>18680602574.010002</v>
      </c>
      <c r="J14" s="1046">
        <v>1744042776.5300002</v>
      </c>
      <c r="K14" s="1382">
        <f t="shared" si="1"/>
        <v>212630417622.04001</v>
      </c>
      <c r="O14" s="1854" t="s">
        <v>371</v>
      </c>
      <c r="P14" s="1855" t="s">
        <v>758</v>
      </c>
      <c r="Q14" s="1855" t="s">
        <v>940</v>
      </c>
      <c r="R14" s="1855" t="s">
        <v>941</v>
      </c>
      <c r="S14" s="1855" t="s">
        <v>942</v>
      </c>
      <c r="T14" s="1855" t="s">
        <v>943</v>
      </c>
      <c r="U14" s="1855" t="s">
        <v>944</v>
      </c>
      <c r="V14"/>
      <c r="W14" s="1847" t="s">
        <v>951</v>
      </c>
      <c r="X14" s="1848" t="s">
        <v>604</v>
      </c>
      <c r="Y14" s="1847" t="s">
        <v>952</v>
      </c>
      <c r="Z14" s="1848" t="s">
        <v>604</v>
      </c>
      <c r="AA14" s="1856" t="s">
        <v>953</v>
      </c>
      <c r="AB14" s="1848" t="s">
        <v>604</v>
      </c>
      <c r="AC14" s="1856" t="s">
        <v>954</v>
      </c>
      <c r="AD14" s="1848" t="s">
        <v>604</v>
      </c>
      <c r="AE14"/>
      <c r="AF14"/>
    </row>
    <row r="15" spans="1:32" s="36" customFormat="1" ht="27" customHeight="1">
      <c r="A15" s="1776">
        <v>2024</v>
      </c>
      <c r="B15" s="1777">
        <v>211618577731.84003</v>
      </c>
      <c r="C15" s="1777">
        <v>18395222000</v>
      </c>
      <c r="D15" s="1777">
        <v>924996518.88</v>
      </c>
      <c r="E15" s="1777">
        <v>0</v>
      </c>
      <c r="F15" s="1777">
        <v>2467869147.7800002</v>
      </c>
      <c r="G15" s="1381">
        <f t="shared" si="0"/>
        <v>233406665398.50003</v>
      </c>
      <c r="H15" s="830">
        <v>212203641524.01999</v>
      </c>
      <c r="I15" s="830">
        <v>18566920747.349998</v>
      </c>
      <c r="J15" s="1046">
        <v>2068231616.74</v>
      </c>
      <c r="K15" s="1382">
        <f t="shared" si="1"/>
        <v>232838793888.10999</v>
      </c>
      <c r="O15" s="1857">
        <v>2015</v>
      </c>
      <c r="P15" s="1845">
        <v>79052372049.330002</v>
      </c>
      <c r="Q15" s="1845">
        <v>6922811271.25</v>
      </c>
      <c r="R15" s="1845">
        <v>554292818.75</v>
      </c>
      <c r="S15" s="1845">
        <v>0</v>
      </c>
      <c r="T15" s="1845">
        <v>355290191.79000002</v>
      </c>
      <c r="U15" s="1381">
        <f>+Q15+P15+R15+S15+T15</f>
        <v>86884766331.119995</v>
      </c>
      <c r="V15"/>
      <c r="W15" s="1849">
        <v>79052372049.330002</v>
      </c>
      <c r="X15" s="1850">
        <f>+W15-P15</f>
        <v>0</v>
      </c>
      <c r="Y15" s="1849">
        <v>6922811271.25</v>
      </c>
      <c r="Z15" s="1852">
        <f t="shared" ref="Z15:Z23" si="2">+Y15-Q15</f>
        <v>0</v>
      </c>
      <c r="AA15" s="1849">
        <v>523242913.22000003</v>
      </c>
      <c r="AB15" s="1858">
        <f>+AA15-R15</f>
        <v>-31049905.529999971</v>
      </c>
      <c r="AC15" s="1849">
        <v>355290191.79000002</v>
      </c>
      <c r="AD15" s="1850">
        <f>+AC15-T15</f>
        <v>0</v>
      </c>
      <c r="AE15"/>
      <c r="AF15"/>
    </row>
    <row r="16" spans="1:32" s="98" customFormat="1" ht="27" customHeight="1">
      <c r="A16" s="1778" t="str">
        <f>+'Resumen '!O6</f>
        <v>Abr.2025</v>
      </c>
      <c r="B16" s="1777">
        <v>73460907707.009995</v>
      </c>
      <c r="C16" s="1777">
        <v>6198407333.3199997</v>
      </c>
      <c r="D16" s="1777">
        <v>256246062.56</v>
      </c>
      <c r="E16" s="1846">
        <v>0</v>
      </c>
      <c r="F16" s="1777">
        <v>446862470.19999999</v>
      </c>
      <c r="G16" s="1381">
        <f t="shared" si="0"/>
        <v>80362423573.089981</v>
      </c>
      <c r="H16" s="830">
        <v>72974992730.740005</v>
      </c>
      <c r="I16" s="830">
        <v>7637610930.5600004</v>
      </c>
      <c r="J16" s="1046">
        <v>781988803.13999999</v>
      </c>
      <c r="K16" s="1382">
        <f t="shared" si="1"/>
        <v>81394592464.440002</v>
      </c>
      <c r="M16" s="36"/>
      <c r="N16" s="36"/>
      <c r="O16" s="1857">
        <v>2016</v>
      </c>
      <c r="P16" s="1845">
        <v>89049164221.449997</v>
      </c>
      <c r="Q16" s="1845">
        <v>8498167479</v>
      </c>
      <c r="R16" s="1845">
        <v>683922196.33000004</v>
      </c>
      <c r="S16" s="1845">
        <v>0</v>
      </c>
      <c r="T16" s="1845">
        <v>371308008.59999996</v>
      </c>
      <c r="U16" s="1381">
        <f>+Q16+P16+R16+S16+T16</f>
        <v>98602561905.380005</v>
      </c>
      <c r="V16"/>
      <c r="W16" s="1849">
        <v>89049164221.449997</v>
      </c>
      <c r="X16" s="1850">
        <f t="shared" ref="X16:X24" si="3">+W16-P16</f>
        <v>0</v>
      </c>
      <c r="Y16" s="1849">
        <v>8498167479</v>
      </c>
      <c r="Z16" s="1852">
        <f t="shared" si="2"/>
        <v>0</v>
      </c>
      <c r="AA16" s="1849">
        <v>683922196.33000004</v>
      </c>
      <c r="AB16" s="1858">
        <f t="shared" ref="AB16:AB24" si="4">+AA16-R16</f>
        <v>0</v>
      </c>
      <c r="AC16" s="1849">
        <v>371308008.59999996</v>
      </c>
      <c r="AD16" s="1850">
        <f t="shared" ref="AD16:AD24" si="5">+AC16-T16</f>
        <v>0</v>
      </c>
      <c r="AE16"/>
      <c r="AF16"/>
    </row>
    <row r="17" spans="1:32" ht="27" customHeight="1">
      <c r="A17" s="1146" t="s">
        <v>243</v>
      </c>
      <c r="B17" s="1147">
        <f t="shared" ref="B17:K17" si="6">SUM(B6:B16)</f>
        <v>1407309184788.53</v>
      </c>
      <c r="C17" s="1147">
        <f t="shared" si="6"/>
        <v>132074733074.23001</v>
      </c>
      <c r="D17" s="1147">
        <f t="shared" si="6"/>
        <v>7431241814.3600006</v>
      </c>
      <c r="E17" s="1147">
        <f t="shared" si="6"/>
        <v>0</v>
      </c>
      <c r="F17" s="1147">
        <f t="shared" si="6"/>
        <v>12310887139.85</v>
      </c>
      <c r="G17" s="1147">
        <f t="shared" si="6"/>
        <v>1559126046816.97</v>
      </c>
      <c r="H17" s="1148">
        <f t="shared" si="6"/>
        <v>1415550465428.98</v>
      </c>
      <c r="I17" s="1148">
        <f t="shared" si="6"/>
        <v>137461546727.62</v>
      </c>
      <c r="J17" s="1148">
        <f t="shared" si="6"/>
        <v>10955640817.629999</v>
      </c>
      <c r="K17" s="1149">
        <f t="shared" si="6"/>
        <v>1563967652974.23</v>
      </c>
      <c r="M17" s="36"/>
      <c r="N17" s="36"/>
      <c r="O17" s="1857">
        <v>2017</v>
      </c>
      <c r="P17" s="1845">
        <v>99657751352.690002</v>
      </c>
      <c r="Q17" s="1845">
        <v>8861365332.7000008</v>
      </c>
      <c r="R17" s="1859">
        <v>576015155.07000005</v>
      </c>
      <c r="S17" s="1845">
        <v>0</v>
      </c>
      <c r="T17" s="1859">
        <v>666539596.8900001</v>
      </c>
      <c r="U17" s="1381">
        <f>+Q17+P17+R17+S17+T17</f>
        <v>109761671437.35001</v>
      </c>
      <c r="W17" s="1849">
        <v>99657751352.690002</v>
      </c>
      <c r="X17" s="1850">
        <f t="shared" si="3"/>
        <v>0</v>
      </c>
      <c r="Y17" s="1849">
        <v>8861365332.7000008</v>
      </c>
      <c r="Z17" s="1852">
        <f t="shared" si="2"/>
        <v>0</v>
      </c>
      <c r="AA17" s="1849">
        <v>574999895.51999998</v>
      </c>
      <c r="AB17" s="1858">
        <f t="shared" si="4"/>
        <v>-1015259.5500000715</v>
      </c>
      <c r="AC17" s="1849">
        <v>665846533.3499999</v>
      </c>
      <c r="AD17" s="1850">
        <f t="shared" si="5"/>
        <v>-693063.54000020027</v>
      </c>
    </row>
    <row r="18" spans="1:32" ht="20.25" customHeight="1">
      <c r="A18" s="2266" t="s">
        <v>955</v>
      </c>
      <c r="B18" s="2266"/>
      <c r="C18" s="2266"/>
      <c r="D18" s="2266"/>
      <c r="E18" s="2266"/>
      <c r="F18" s="2266"/>
      <c r="G18" s="2266"/>
      <c r="H18" s="2267"/>
      <c r="I18" s="2267"/>
      <c r="J18" s="2267"/>
      <c r="K18" s="2266"/>
      <c r="M18" s="99"/>
      <c r="N18" s="99"/>
      <c r="O18" s="1857">
        <v>2018</v>
      </c>
      <c r="P18" s="1845">
        <v>112854009382.5</v>
      </c>
      <c r="Q18" s="1859">
        <v>9303031999.3699989</v>
      </c>
      <c r="R18" s="1845">
        <v>740948848.4799999</v>
      </c>
      <c r="S18" s="1845">
        <v>0</v>
      </c>
      <c r="T18" s="1859">
        <v>793166886.71000004</v>
      </c>
      <c r="U18" s="1381">
        <f t="shared" ref="U18:U22" si="7">+Q18+P18+R18+S18+T18</f>
        <v>123691157117.06</v>
      </c>
      <c r="W18" s="1849">
        <v>112854009382.5</v>
      </c>
      <c r="X18" s="1850">
        <f t="shared" si="3"/>
        <v>0</v>
      </c>
      <c r="Y18" s="1849">
        <v>9303031996.6900005</v>
      </c>
      <c r="Z18" s="1852">
        <f t="shared" si="2"/>
        <v>-2.6799983978271484</v>
      </c>
      <c r="AA18" s="1849">
        <v>740948848.48000002</v>
      </c>
      <c r="AB18" s="1858">
        <f t="shared" si="4"/>
        <v>0</v>
      </c>
      <c r="AC18" s="1849">
        <v>793176886.71000004</v>
      </c>
      <c r="AD18" s="1850">
        <f t="shared" si="5"/>
        <v>10000</v>
      </c>
    </row>
    <row r="19" spans="1:32" s="106" customFormat="1" ht="20.25">
      <c r="A19" s="2265" t="s">
        <v>956</v>
      </c>
      <c r="B19" s="2265"/>
      <c r="C19" s="2265"/>
      <c r="D19" s="2265"/>
      <c r="E19" s="2265"/>
      <c r="F19" s="2265"/>
      <c r="G19" s="921"/>
      <c r="H19" s="922"/>
      <c r="I19" s="922"/>
      <c r="J19" s="922"/>
      <c r="K19" s="922"/>
      <c r="M19" s="99"/>
      <c r="N19" s="99"/>
      <c r="O19" s="1857">
        <v>2019</v>
      </c>
      <c r="P19" s="1859">
        <v>122800092365.86</v>
      </c>
      <c r="Q19" s="1859">
        <v>10073865331.690001</v>
      </c>
      <c r="R19" s="1859">
        <v>847776257.70000005</v>
      </c>
      <c r="S19" s="1845">
        <v>0</v>
      </c>
      <c r="T19" s="1845">
        <v>910105888.26999998</v>
      </c>
      <c r="U19" s="1381">
        <f t="shared" si="7"/>
        <v>134631839843.52</v>
      </c>
      <c r="V19"/>
      <c r="W19" s="1849">
        <v>122910817769.06</v>
      </c>
      <c r="X19" s="1850">
        <f>+W19-P19</f>
        <v>110725403.19999695</v>
      </c>
      <c r="Y19" s="1849">
        <v>10073865331.02</v>
      </c>
      <c r="Z19" s="1852">
        <f t="shared" si="2"/>
        <v>-0.67000007629394531</v>
      </c>
      <c r="AA19" s="1849">
        <v>919403278.91999996</v>
      </c>
      <c r="AB19" s="1858">
        <f t="shared" si="4"/>
        <v>71627021.219999909</v>
      </c>
      <c r="AC19" s="1849">
        <v>910105888.26999998</v>
      </c>
      <c r="AD19" s="1850">
        <f t="shared" si="5"/>
        <v>0</v>
      </c>
      <c r="AE19"/>
      <c r="AF19"/>
    </row>
    <row r="20" spans="1:32" s="16" customFormat="1" ht="20.25">
      <c r="A20" s="108"/>
      <c r="B20" s="116"/>
      <c r="C20" s="116"/>
      <c r="D20" s="116"/>
      <c r="E20" s="116"/>
      <c r="F20" s="116"/>
      <c r="G20" s="116"/>
      <c r="H20" s="116"/>
      <c r="I20" s="116"/>
      <c r="J20" s="116"/>
      <c r="K20" s="116"/>
      <c r="M20" s="36"/>
      <c r="N20" s="36"/>
      <c r="O20" s="1857">
        <v>2020</v>
      </c>
      <c r="P20" s="1845">
        <v>121397990565.51001</v>
      </c>
      <c r="Q20" s="1859">
        <v>10800531999.639999</v>
      </c>
      <c r="R20" s="1845">
        <v>613627915.26999998</v>
      </c>
      <c r="S20" s="1845">
        <v>0</v>
      </c>
      <c r="T20" s="1859">
        <v>1093851359.3600001</v>
      </c>
      <c r="U20" s="1381">
        <f t="shared" si="7"/>
        <v>133906001839.78001</v>
      </c>
      <c r="V20"/>
      <c r="W20" s="1849">
        <v>121397990565.50999</v>
      </c>
      <c r="X20" s="1850">
        <f t="shared" si="3"/>
        <v>0</v>
      </c>
      <c r="Y20" s="1849">
        <v>10800531998.65</v>
      </c>
      <c r="Z20" s="1852">
        <f t="shared" si="2"/>
        <v>-0.98999977111816406</v>
      </c>
      <c r="AA20" s="1849">
        <v>613627915.26999998</v>
      </c>
      <c r="AB20" s="1858">
        <f t="shared" si="4"/>
        <v>0</v>
      </c>
      <c r="AC20" s="1849">
        <v>1093850418.6700001</v>
      </c>
      <c r="AD20" s="1850">
        <f t="shared" si="5"/>
        <v>-940.69000005722046</v>
      </c>
      <c r="AE20"/>
      <c r="AF20"/>
    </row>
    <row r="21" spans="1:32" s="16" customFormat="1" ht="20.25">
      <c r="A21" s="108"/>
      <c r="B21" s="116"/>
      <c r="C21" s="116"/>
      <c r="D21" s="116"/>
      <c r="E21" s="116"/>
      <c r="F21" s="116"/>
      <c r="G21" s="116"/>
      <c r="H21" s="116"/>
      <c r="I21" s="116"/>
      <c r="J21" s="116"/>
      <c r="K21" s="116"/>
      <c r="M21" s="36"/>
      <c r="N21" s="36"/>
      <c r="O21" s="1857">
        <v>2021</v>
      </c>
      <c r="P21" s="1845">
        <v>139642528713.32999</v>
      </c>
      <c r="Q21" s="1859">
        <v>16360531999.959999</v>
      </c>
      <c r="R21" s="1859">
        <v>242577047.74000001</v>
      </c>
      <c r="S21" s="1845">
        <v>0</v>
      </c>
      <c r="T21" s="1845">
        <v>1116049433.3900001</v>
      </c>
      <c r="U21" s="1381">
        <f t="shared" si="7"/>
        <v>157361687194.41998</v>
      </c>
      <c r="V21"/>
      <c r="W21" s="1849">
        <v>139642528713.32999</v>
      </c>
      <c r="X21" s="1850">
        <f t="shared" si="3"/>
        <v>0</v>
      </c>
      <c r="Y21" s="1849">
        <v>17765576332.630001</v>
      </c>
      <c r="Z21" s="1852">
        <f>+Y21-Q21</f>
        <v>1405044332.670002</v>
      </c>
      <c r="AA21" s="1849">
        <v>296259368.50999999</v>
      </c>
      <c r="AB21" s="1858">
        <f t="shared" si="4"/>
        <v>53682320.769999981</v>
      </c>
      <c r="AC21" s="1849">
        <v>1116049433.3899999</v>
      </c>
      <c r="AD21" s="1850">
        <f t="shared" si="5"/>
        <v>0</v>
      </c>
      <c r="AE21"/>
      <c r="AF21"/>
    </row>
    <row r="22" spans="1:32" s="16" customFormat="1" ht="20.25">
      <c r="A22" s="108"/>
      <c r="B22" s="116"/>
      <c r="C22" s="116"/>
      <c r="D22" s="116"/>
      <c r="E22" s="116"/>
      <c r="F22" s="116"/>
      <c r="G22" s="116"/>
      <c r="H22" s="116"/>
      <c r="I22" s="116"/>
      <c r="J22" s="116"/>
      <c r="K22" s="116"/>
      <c r="M22" s="1876">
        <v>335652778.95999998</v>
      </c>
      <c r="N22" s="36">
        <f t="shared" ref="N22:N32" si="8">+M22-J6</f>
        <v>0</v>
      </c>
      <c r="O22" s="1857">
        <v>2022</v>
      </c>
      <c r="P22" s="1859">
        <v>168298548798.17001</v>
      </c>
      <c r="Q22" s="1859">
        <v>15455487666.629999</v>
      </c>
      <c r="R22" s="1859">
        <v>740135557.13</v>
      </c>
      <c r="S22" s="1845">
        <v>0</v>
      </c>
      <c r="T22" s="1859">
        <v>1205291803.4200001</v>
      </c>
      <c r="U22" s="1381">
        <f t="shared" si="7"/>
        <v>185699463825.35004</v>
      </c>
      <c r="V22" s="1096"/>
      <c r="W22" s="1849">
        <v>168533574230.90002</v>
      </c>
      <c r="X22" s="1850">
        <f t="shared" si="3"/>
        <v>235025432.73001099</v>
      </c>
      <c r="Y22" s="1849">
        <v>16860531998.969999</v>
      </c>
      <c r="Z22" s="1852">
        <f t="shared" si="2"/>
        <v>1405044332.3400002</v>
      </c>
      <c r="AA22" s="1849">
        <v>739635561.09000003</v>
      </c>
      <c r="AB22" s="1858">
        <f t="shared" si="4"/>
        <v>-499996.03999996185</v>
      </c>
      <c r="AC22" s="1849">
        <v>1927102666.2800002</v>
      </c>
      <c r="AD22" s="1850">
        <f t="shared" si="5"/>
        <v>721810862.86000013</v>
      </c>
      <c r="AE22"/>
      <c r="AF22"/>
    </row>
    <row r="23" spans="1:32" s="16" customFormat="1" ht="20.25">
      <c r="A23" s="108"/>
      <c r="B23" s="116"/>
      <c r="C23" s="116"/>
      <c r="D23" s="116"/>
      <c r="E23" s="116"/>
      <c r="F23" s="116"/>
      <c r="G23" s="116"/>
      <c r="H23" s="116"/>
      <c r="I23" s="116"/>
      <c r="J23" s="116"/>
      <c r="K23" s="116"/>
      <c r="M23" s="1876">
        <v>328531909.16000003</v>
      </c>
      <c r="N23" s="36">
        <f t="shared" si="8"/>
        <v>0</v>
      </c>
      <c r="O23" s="1857">
        <v>2023</v>
      </c>
      <c r="P23" s="1845">
        <v>189477241900.83997</v>
      </c>
      <c r="Q23" s="1859">
        <v>18395222000.040001</v>
      </c>
      <c r="R23" s="1845">
        <v>1157959255.5799999</v>
      </c>
      <c r="S23" s="1845">
        <v>0</v>
      </c>
      <c r="T23" s="1845">
        <v>2163425494.8100004</v>
      </c>
      <c r="U23" s="1381">
        <v>211193848651.26996</v>
      </c>
      <c r="V23"/>
      <c r="W23" s="1849">
        <v>189477241900.83997</v>
      </c>
      <c r="X23" s="1850">
        <f t="shared" si="3"/>
        <v>0</v>
      </c>
      <c r="Y23" s="1849">
        <v>18395222000</v>
      </c>
      <c r="Z23" s="1852">
        <f t="shared" si="2"/>
        <v>-4.000091552734375E-2</v>
      </c>
      <c r="AA23" s="1849">
        <v>1157959255.5799999</v>
      </c>
      <c r="AB23" s="1858">
        <f t="shared" si="4"/>
        <v>0</v>
      </c>
      <c r="AC23" s="1849">
        <v>2163425494.8099999</v>
      </c>
      <c r="AD23" s="1850">
        <f t="shared" si="5"/>
        <v>0</v>
      </c>
      <c r="AE23"/>
      <c r="AF23"/>
    </row>
    <row r="24" spans="1:32" s="16" customFormat="1" ht="20.25">
      <c r="A24" s="108"/>
      <c r="B24" s="116"/>
      <c r="C24" s="116"/>
      <c r="D24" s="116"/>
      <c r="E24" s="116"/>
      <c r="F24" s="116"/>
      <c r="G24" s="116"/>
      <c r="H24" s="116"/>
      <c r="I24" s="116"/>
      <c r="J24" s="116"/>
      <c r="K24" s="116"/>
      <c r="M24" s="1875">
        <v>558973905.84000003</v>
      </c>
      <c r="N24" s="36">
        <f t="shared" si="8"/>
        <v>0</v>
      </c>
      <c r="O24" s="1857">
        <v>2024</v>
      </c>
      <c r="P24" s="1845">
        <v>211618577731.84003</v>
      </c>
      <c r="Q24" s="1845">
        <v>18395222000</v>
      </c>
      <c r="R24" s="1845">
        <v>924996518.88</v>
      </c>
      <c r="S24" s="1845">
        <v>0</v>
      </c>
      <c r="T24" s="1845">
        <v>2467869147.7800002</v>
      </c>
      <c r="U24" s="1381">
        <v>211193848651.26996</v>
      </c>
      <c r="V24"/>
      <c r="W24" s="1851">
        <v>211618577731.84003</v>
      </c>
      <c r="X24" s="1852">
        <f t="shared" si="3"/>
        <v>0</v>
      </c>
      <c r="Y24" s="1851">
        <v>18395222000</v>
      </c>
      <c r="Z24" s="1852">
        <f>+Y24-Q24</f>
        <v>0</v>
      </c>
      <c r="AA24" s="1851">
        <v>924996518.88</v>
      </c>
      <c r="AB24" s="1860">
        <f t="shared" si="4"/>
        <v>0</v>
      </c>
      <c r="AC24" s="1851">
        <v>2467869147.7800002</v>
      </c>
      <c r="AD24" s="1852">
        <f t="shared" si="5"/>
        <v>0</v>
      </c>
      <c r="AE24"/>
      <c r="AF24"/>
    </row>
    <row r="25" spans="1:32" s="16" customFormat="1" ht="20.25">
      <c r="A25" s="108"/>
      <c r="B25" s="116"/>
      <c r="C25" s="116"/>
      <c r="D25" s="116"/>
      <c r="E25" s="116"/>
      <c r="F25" s="116"/>
      <c r="G25" s="116"/>
      <c r="H25" s="116"/>
      <c r="I25" s="116"/>
      <c r="J25" s="116"/>
      <c r="K25" s="116"/>
      <c r="M25" s="1875">
        <v>758411882.96000004</v>
      </c>
      <c r="N25" s="36">
        <f t="shared" si="8"/>
        <v>0</v>
      </c>
      <c r="O25"/>
      <c r="P25"/>
      <c r="Q25"/>
      <c r="R25"/>
      <c r="S25"/>
      <c r="T25"/>
      <c r="U25" s="1381"/>
      <c r="V25"/>
      <c r="W25" s="1096"/>
      <c r="X25"/>
      <c r="Y25"/>
      <c r="Z25"/>
      <c r="AA25"/>
      <c r="AB25"/>
      <c r="AC25"/>
      <c r="AD25"/>
      <c r="AE25"/>
      <c r="AF25"/>
    </row>
    <row r="26" spans="1:32" s="16" customFormat="1" ht="18">
      <c r="A26" s="108"/>
      <c r="B26" s="116"/>
      <c r="C26" s="116"/>
      <c r="D26" s="116"/>
      <c r="E26" s="116"/>
      <c r="F26" s="116"/>
      <c r="G26" s="116"/>
      <c r="H26" s="116"/>
      <c r="I26" s="116"/>
      <c r="J26" s="116"/>
      <c r="K26" s="116"/>
      <c r="M26" s="1875">
        <v>973800800.97000003</v>
      </c>
      <c r="N26" s="36">
        <f t="shared" si="8"/>
        <v>0</v>
      </c>
      <c r="V26"/>
      <c r="W26" s="1096"/>
      <c r="X26"/>
      <c r="Y26"/>
      <c r="Z26"/>
      <c r="AA26"/>
      <c r="AB26"/>
      <c r="AC26"/>
      <c r="AD26"/>
      <c r="AE26"/>
      <c r="AF26"/>
    </row>
    <row r="27" spans="1:32" s="16" customFormat="1" ht="18">
      <c r="A27" s="108"/>
      <c r="B27" s="116"/>
      <c r="C27" s="116"/>
      <c r="D27" s="116"/>
      <c r="E27" s="116"/>
      <c r="F27" s="116"/>
      <c r="G27" s="116"/>
      <c r="H27" s="116"/>
      <c r="I27" s="116"/>
      <c r="J27" s="116"/>
      <c r="K27" s="116"/>
      <c r="M27" s="1877">
        <v>970014744.09000003</v>
      </c>
      <c r="N27" s="36">
        <f t="shared" si="8"/>
        <v>0</v>
      </c>
      <c r="V27"/>
      <c r="W27" s="1096"/>
      <c r="X27"/>
      <c r="Y27"/>
      <c r="Z27"/>
      <c r="AA27"/>
      <c r="AB27"/>
      <c r="AC27"/>
      <c r="AD27"/>
      <c r="AE27"/>
      <c r="AF27" s="1096"/>
    </row>
    <row r="28" spans="1:32" s="16" customFormat="1" ht="20.25">
      <c r="A28" s="108"/>
      <c r="B28" s="116"/>
      <c r="C28" s="116"/>
      <c r="D28" s="116"/>
      <c r="E28" s="116"/>
      <c r="F28" s="116"/>
      <c r="G28" s="116"/>
      <c r="H28" s="116"/>
      <c r="I28" s="116"/>
      <c r="J28" s="116"/>
      <c r="K28" s="116"/>
      <c r="M28" s="1875">
        <v>854040296.12</v>
      </c>
      <c r="N28" s="36">
        <f t="shared" si="8"/>
        <v>0</v>
      </c>
      <c r="V28" s="1862"/>
      <c r="W28" s="1862" t="s">
        <v>957</v>
      </c>
      <c r="X28" s="1862"/>
      <c r="Y28" s="1862"/>
      <c r="Z28" s="1862"/>
      <c r="AA28" s="1862"/>
      <c r="AB28" s="1862"/>
      <c r="AC28" s="1862"/>
      <c r="AD28" s="1862"/>
      <c r="AE28" s="1862"/>
      <c r="AF28" s="1861"/>
    </row>
    <row r="29" spans="1:32" s="16" customFormat="1" ht="20.25">
      <c r="A29" s="108"/>
      <c r="B29" s="116"/>
      <c r="C29" s="116"/>
      <c r="D29" s="116"/>
      <c r="E29" s="116"/>
      <c r="F29" s="116"/>
      <c r="G29" s="116"/>
      <c r="H29" s="116"/>
      <c r="I29" s="116"/>
      <c r="J29" s="116"/>
      <c r="K29" s="116"/>
      <c r="M29" s="1875">
        <v>1581951303.1199999</v>
      </c>
      <c r="N29" s="36">
        <f t="shared" si="8"/>
        <v>0</v>
      </c>
      <c r="V29" s="1862"/>
      <c r="W29" s="1863">
        <f>+'IV.1.4. Recaudo x sector'!N9-W15</f>
        <v>-79052372049.330002</v>
      </c>
      <c r="X29" s="1862"/>
      <c r="Y29" s="1862"/>
      <c r="Z29" s="1862"/>
      <c r="AA29" s="1862"/>
      <c r="AB29" s="1862"/>
      <c r="AC29" s="1862"/>
      <c r="AD29" s="1862"/>
      <c r="AE29" s="1862"/>
      <c r="AF29" s="1861"/>
    </row>
    <row r="30" spans="1:32" s="16" customFormat="1" ht="20.25">
      <c r="A30" s="108"/>
      <c r="B30" s="116"/>
      <c r="C30" s="116"/>
      <c r="D30" s="116"/>
      <c r="E30" s="116"/>
      <c r="F30" s="116"/>
      <c r="G30" s="116"/>
      <c r="H30" s="116"/>
      <c r="I30" s="116"/>
      <c r="J30" s="116"/>
      <c r="K30" s="116"/>
      <c r="M30" s="1875">
        <v>1744042776.53</v>
      </c>
      <c r="N30" s="36">
        <f t="shared" si="8"/>
        <v>0</v>
      </c>
      <c r="V30" s="1862"/>
      <c r="W30" s="1863">
        <f>+'IV.1.4. Recaudo x sector'!N10-W16</f>
        <v>-89049164221.449997</v>
      </c>
      <c r="X30" s="1862"/>
      <c r="Y30" s="1862"/>
      <c r="Z30" s="1862"/>
      <c r="AA30" s="1862"/>
      <c r="AB30" s="1862"/>
      <c r="AC30" s="1862"/>
      <c r="AD30" s="1862"/>
      <c r="AE30" s="1862"/>
      <c r="AF30" s="1861"/>
    </row>
    <row r="31" spans="1:32" s="16" customFormat="1" ht="20.25">
      <c r="A31" s="108"/>
      <c r="B31" s="116"/>
      <c r="C31" s="116"/>
      <c r="D31" s="116"/>
      <c r="E31" s="116"/>
      <c r="F31" s="116"/>
      <c r="G31" s="116"/>
      <c r="H31" s="116"/>
      <c r="I31" s="116"/>
      <c r="J31" s="116"/>
      <c r="K31" s="116"/>
      <c r="M31" s="1875">
        <v>2068231616.74</v>
      </c>
      <c r="N31" s="36">
        <f t="shared" si="8"/>
        <v>0</v>
      </c>
      <c r="V31" s="1862"/>
      <c r="W31" s="1863">
        <f>+'IV.1.4. Recaudo x sector'!N11-W17</f>
        <v>-99657751352.690002</v>
      </c>
      <c r="X31" s="1862"/>
      <c r="Y31" s="1862"/>
      <c r="Z31" s="1862"/>
      <c r="AA31" s="1862"/>
      <c r="AB31" s="1862"/>
      <c r="AC31" s="1862"/>
      <c r="AD31" s="1862"/>
      <c r="AE31" s="1862"/>
      <c r="AF31" s="1861"/>
    </row>
    <row r="32" spans="1:32" s="16" customFormat="1" ht="20.25">
      <c r="A32" s="108"/>
      <c r="B32" s="116"/>
      <c r="C32" s="116"/>
      <c r="D32" s="116"/>
      <c r="E32" s="116"/>
      <c r="F32" s="116"/>
      <c r="G32" s="116"/>
      <c r="H32" s="116"/>
      <c r="I32" s="116"/>
      <c r="J32" s="116"/>
      <c r="K32" s="116"/>
      <c r="M32" s="1875">
        <v>520974902.48000002</v>
      </c>
      <c r="N32" s="36">
        <f t="shared" si="8"/>
        <v>-261013900.65999997</v>
      </c>
      <c r="V32" s="1862"/>
      <c r="W32" s="1863">
        <f>+'IV.1.4. Recaudo x sector'!N12-W18</f>
        <v>0</v>
      </c>
      <c r="X32" s="1862"/>
      <c r="Y32" s="1862"/>
      <c r="Z32" s="1862"/>
      <c r="AA32" s="1862"/>
      <c r="AB32" s="1862"/>
      <c r="AC32" s="1862"/>
      <c r="AD32" s="1862"/>
      <c r="AE32" s="1862"/>
      <c r="AF32" s="1861"/>
    </row>
    <row r="33" spans="1:32" s="16" customFormat="1" ht="20.25">
      <c r="A33" s="108"/>
      <c r="B33" s="116"/>
      <c r="C33" s="116"/>
      <c r="D33" s="116"/>
      <c r="E33" s="116"/>
      <c r="F33" s="116"/>
      <c r="G33" s="116"/>
      <c r="H33" s="116"/>
      <c r="I33" s="116"/>
      <c r="J33" s="116"/>
      <c r="K33" s="116"/>
      <c r="V33" s="1862"/>
      <c r="W33" s="1863">
        <f>+'IV.1.4. Recaudo x sector'!N13-W19</f>
        <v>0</v>
      </c>
      <c r="X33" s="1862"/>
      <c r="Y33" s="1862"/>
      <c r="Z33" s="1862"/>
      <c r="AA33" s="1862"/>
      <c r="AB33" s="1862"/>
      <c r="AC33" s="1862"/>
      <c r="AD33" s="1862"/>
      <c r="AE33" s="1862"/>
      <c r="AF33" s="1861"/>
    </row>
    <row r="34" spans="1:32" s="16" customFormat="1" ht="20.25">
      <c r="A34" s="108"/>
      <c r="B34" s="116"/>
      <c r="C34" s="116"/>
      <c r="D34" s="116"/>
      <c r="E34" s="116"/>
      <c r="F34" s="116"/>
      <c r="G34" s="116"/>
      <c r="H34" s="116"/>
      <c r="I34" s="116"/>
      <c r="J34" s="116"/>
      <c r="K34" s="116"/>
      <c r="V34" s="1862"/>
      <c r="W34" s="1863">
        <f>+'IV.1.4. Recaudo x sector'!N14-W20</f>
        <v>0</v>
      </c>
      <c r="X34" s="1862"/>
      <c r="Y34" s="1862"/>
      <c r="Z34" s="1862"/>
      <c r="AA34" s="1862"/>
      <c r="AB34" s="1862"/>
      <c r="AC34" s="1862"/>
      <c r="AD34" s="1862"/>
      <c r="AE34" s="1862"/>
      <c r="AF34" s="1861"/>
    </row>
    <row r="35" spans="1:32" s="16" customFormat="1" ht="20.25">
      <c r="A35" s="108"/>
      <c r="B35" s="116"/>
      <c r="C35" s="116"/>
      <c r="D35" s="116"/>
      <c r="E35" s="116"/>
      <c r="F35" s="116"/>
      <c r="G35" s="116"/>
      <c r="H35" s="116"/>
      <c r="I35" s="116"/>
      <c r="J35" s="116"/>
      <c r="K35" s="116"/>
      <c r="V35" s="1862"/>
      <c r="W35" s="1863">
        <f>+'IV.1.4. Recaudo x sector'!N15-W21</f>
        <v>0</v>
      </c>
      <c r="X35" s="1862"/>
      <c r="Y35" s="1862"/>
      <c r="Z35" s="1862"/>
      <c r="AA35" s="1862"/>
      <c r="AB35" s="1862"/>
      <c r="AC35" s="1862"/>
      <c r="AD35" s="1862"/>
      <c r="AE35" s="1862"/>
      <c r="AF35" s="1862"/>
    </row>
    <row r="36" spans="1:32" s="16" customFormat="1" ht="20.25">
      <c r="A36" s="108"/>
      <c r="B36" s="116"/>
      <c r="C36" s="116"/>
      <c r="D36" s="116"/>
      <c r="E36" s="116"/>
      <c r="F36" s="116"/>
      <c r="G36" s="116"/>
      <c r="H36" s="116"/>
      <c r="I36" s="116"/>
      <c r="J36" s="116"/>
      <c r="K36" s="116"/>
      <c r="V36" s="1862"/>
      <c r="W36" s="1863">
        <f>+'IV.1.4. Recaudo x sector'!N16-W22</f>
        <v>0</v>
      </c>
      <c r="X36" s="1862"/>
      <c r="Y36" s="1862"/>
      <c r="Z36" s="1862"/>
      <c r="AA36" s="1862"/>
      <c r="AB36" s="1862"/>
      <c r="AC36" s="1862"/>
      <c r="AD36" s="1862"/>
      <c r="AE36" s="1862"/>
      <c r="AF36" s="1862"/>
    </row>
    <row r="37" spans="1:32" s="16" customFormat="1" ht="20.25">
      <c r="A37" s="108"/>
      <c r="B37" s="116"/>
      <c r="C37" s="116"/>
      <c r="D37" s="116"/>
      <c r="E37" s="116"/>
      <c r="F37" s="116"/>
      <c r="G37" s="116"/>
      <c r="H37" s="116"/>
      <c r="I37" s="116"/>
      <c r="J37" s="116"/>
      <c r="K37" s="116"/>
      <c r="V37" s="1862"/>
      <c r="W37" s="1863">
        <f>+'IV.1.4. Recaudo x sector'!N17-W23</f>
        <v>0</v>
      </c>
      <c r="X37" s="1862"/>
      <c r="Y37" s="1862"/>
      <c r="Z37" s="1862"/>
      <c r="AA37" s="1862"/>
      <c r="AB37" s="1862"/>
      <c r="AC37" s="1862"/>
      <c r="AD37" s="1862"/>
      <c r="AE37" s="1862"/>
      <c r="AF37" s="1862"/>
    </row>
    <row r="38" spans="1:32" s="16" customFormat="1" ht="20.25">
      <c r="A38" s="108"/>
      <c r="B38" s="116"/>
      <c r="C38" s="116"/>
      <c r="D38" s="116"/>
      <c r="E38" s="116"/>
      <c r="F38" s="116"/>
      <c r="G38" s="116"/>
      <c r="H38" s="116"/>
      <c r="I38" s="116"/>
      <c r="J38" s="116"/>
      <c r="K38" s="116"/>
      <c r="V38" s="1862"/>
      <c r="W38" s="1863">
        <f>+'IV.1.4. Recaudo x sector'!N18-W24</f>
        <v>0</v>
      </c>
      <c r="X38" s="1862"/>
      <c r="Y38" s="1862"/>
      <c r="Z38" s="1862"/>
      <c r="AA38" s="1862"/>
      <c r="AB38" s="1862"/>
      <c r="AC38" s="1862"/>
      <c r="AD38" s="1862"/>
      <c r="AE38" s="1862"/>
      <c r="AF38" s="1862"/>
    </row>
    <row r="39" spans="1:32" s="16" customFormat="1" ht="20.25">
      <c r="A39" s="108"/>
      <c r="B39" s="116"/>
      <c r="C39" s="116"/>
      <c r="D39" s="116"/>
      <c r="E39" s="116"/>
      <c r="F39" s="116"/>
      <c r="G39" s="116"/>
      <c r="H39" s="116"/>
      <c r="I39" s="116"/>
      <c r="J39" s="116"/>
      <c r="K39" s="116"/>
      <c r="V39" s="1862"/>
      <c r="W39" s="2261" t="s">
        <v>958</v>
      </c>
      <c r="X39" s="2261"/>
      <c r="Y39" s="2261"/>
      <c r="Z39" s="2261"/>
      <c r="AA39" s="1862"/>
      <c r="AB39" s="1862"/>
      <c r="AC39" s="1862"/>
      <c r="AD39" s="1862"/>
      <c r="AE39" s="1862"/>
      <c r="AF39" s="1862"/>
    </row>
    <row r="40" spans="1:32" s="16" customFormat="1" ht="20.25">
      <c r="A40" s="108"/>
      <c r="B40" s="116"/>
      <c r="C40" s="116"/>
      <c r="D40" s="116"/>
      <c r="E40" s="116"/>
      <c r="F40" s="116"/>
      <c r="G40" s="116"/>
      <c r="H40" s="116"/>
      <c r="I40" s="116"/>
      <c r="J40" s="116"/>
      <c r="K40" s="116"/>
      <c r="V40" s="1862"/>
      <c r="W40" s="1861"/>
      <c r="X40" s="1862"/>
      <c r="Y40" s="1862"/>
      <c r="Z40" s="1862"/>
      <c r="AA40" s="1862"/>
      <c r="AB40" s="1862"/>
      <c r="AC40" s="1862"/>
      <c r="AD40" s="1862"/>
      <c r="AE40" s="1862"/>
      <c r="AF40" s="1862"/>
    </row>
    <row r="41" spans="1:32" s="16" customFormat="1" ht="20.25">
      <c r="A41" s="108"/>
      <c r="B41" s="116"/>
      <c r="C41" s="116"/>
      <c r="D41" s="116"/>
      <c r="E41" s="116"/>
      <c r="F41" s="116"/>
      <c r="G41" s="116"/>
      <c r="H41" s="116"/>
      <c r="I41" s="116"/>
      <c r="J41" s="116"/>
      <c r="K41" s="116"/>
      <c r="V41" s="1862"/>
      <c r="W41" s="1864"/>
      <c r="X41" s="2255" t="s">
        <v>292</v>
      </c>
      <c r="Y41" s="2255"/>
      <c r="Z41" s="1862"/>
      <c r="AA41" s="1862"/>
      <c r="AB41" s="1862"/>
      <c r="AC41" s="1862"/>
      <c r="AD41" s="1862"/>
      <c r="AE41" s="1862"/>
      <c r="AF41" s="1862"/>
    </row>
    <row r="42" spans="1:32" s="16" customFormat="1" ht="32.25">
      <c r="A42" s="108"/>
      <c r="B42" s="116"/>
      <c r="C42" s="116"/>
      <c r="D42" s="116"/>
      <c r="E42" s="116"/>
      <c r="F42" s="116"/>
      <c r="G42" s="116"/>
      <c r="H42" s="116"/>
      <c r="I42" s="116"/>
      <c r="J42" s="116"/>
      <c r="K42" s="116"/>
      <c r="V42" s="1862"/>
      <c r="W42" s="1865" t="s">
        <v>683</v>
      </c>
      <c r="X42" s="1865" t="s">
        <v>959</v>
      </c>
      <c r="Y42" s="1865" t="s">
        <v>960</v>
      </c>
      <c r="Z42" s="1865" t="s">
        <v>961</v>
      </c>
      <c r="AA42" s="1862"/>
      <c r="AB42" s="1862"/>
      <c r="AC42" s="1862"/>
      <c r="AD42" s="1862"/>
      <c r="AE42" s="1862"/>
      <c r="AF42" s="1862"/>
    </row>
    <row r="43" spans="1:32" ht="41.25" customHeight="1">
      <c r="M43" s="16"/>
      <c r="N43" s="16"/>
      <c r="V43" s="1862"/>
      <c r="W43" s="1866">
        <v>2020</v>
      </c>
      <c r="X43" s="1867"/>
      <c r="Y43" s="1867">
        <v>1595470938.6900001</v>
      </c>
      <c r="Z43" s="1868"/>
      <c r="AA43" s="1862"/>
      <c r="AB43" s="1862"/>
      <c r="AC43" s="1862"/>
      <c r="AD43" s="1862"/>
      <c r="AE43" s="1862"/>
      <c r="AF43" s="1862"/>
    </row>
    <row r="44" spans="1:32" ht="20.25">
      <c r="M44" s="16"/>
      <c r="N44" s="16"/>
      <c r="V44" s="1862"/>
      <c r="W44" s="1866">
        <v>2021</v>
      </c>
      <c r="X44" s="1867">
        <v>36387676.810000002</v>
      </c>
      <c r="Y44" s="1867">
        <v>3524841148.6700001</v>
      </c>
      <c r="Z44" s="1868">
        <v>1054636862.4000001</v>
      </c>
      <c r="AA44" s="1862"/>
      <c r="AB44" s="1862"/>
      <c r="AC44" s="1862"/>
      <c r="AD44" s="1862"/>
      <c r="AE44" s="1862"/>
      <c r="AF44" s="1862"/>
    </row>
    <row r="45" spans="1:32" ht="20.25">
      <c r="M45" s="16"/>
      <c r="N45" s="16"/>
      <c r="V45" s="1862"/>
      <c r="W45" s="1866">
        <v>2022</v>
      </c>
      <c r="X45" s="1867">
        <v>249851526.77999997</v>
      </c>
      <c r="Y45" s="1867">
        <v>769683595</v>
      </c>
      <c r="Z45" s="1868">
        <v>2397826257.1199999</v>
      </c>
      <c r="AA45" s="1862"/>
      <c r="AB45" s="1862"/>
      <c r="AC45" s="1862"/>
      <c r="AD45" s="1862"/>
      <c r="AE45" s="1862"/>
      <c r="AF45" s="1862"/>
    </row>
    <row r="46" spans="1:32" ht="20.25">
      <c r="M46" s="16"/>
      <c r="N46" s="16"/>
      <c r="V46" s="1862"/>
      <c r="W46" s="1869">
        <v>2023</v>
      </c>
      <c r="X46" s="1870">
        <v>10108811.73</v>
      </c>
      <c r="Y46" s="1870">
        <v>9052700</v>
      </c>
      <c r="Z46" s="1871">
        <v>512958847.5</v>
      </c>
      <c r="AA46" s="1862"/>
      <c r="AB46" s="1862"/>
      <c r="AC46" s="1862"/>
      <c r="AD46" s="1862"/>
      <c r="AE46" s="1862"/>
      <c r="AF46" s="1862"/>
    </row>
    <row r="47" spans="1:32" ht="20.25">
      <c r="M47" s="16"/>
      <c r="N47" s="16"/>
      <c r="V47" s="1862"/>
      <c r="W47" s="1861"/>
      <c r="X47" s="1861"/>
      <c r="Y47" s="1861"/>
      <c r="Z47" s="1861"/>
      <c r="AA47" s="1862"/>
      <c r="AB47" s="1862"/>
      <c r="AC47" s="1862"/>
      <c r="AD47" s="1862"/>
      <c r="AE47" s="1862"/>
      <c r="AF47" s="1862"/>
    </row>
    <row r="48" spans="1:32" ht="20.25">
      <c r="M48" s="16"/>
      <c r="N48" s="16"/>
      <c r="V48" s="1862"/>
      <c r="W48" s="1861"/>
      <c r="X48" s="1862"/>
      <c r="Y48" s="1862"/>
      <c r="Z48" s="1862"/>
      <c r="AA48" s="1862"/>
      <c r="AB48" s="1862"/>
      <c r="AC48" s="1862"/>
      <c r="AD48" s="1862"/>
      <c r="AE48" s="1862"/>
      <c r="AF48" s="1862"/>
    </row>
    <row r="49" spans="13:32" ht="20.25">
      <c r="M49" s="16"/>
      <c r="N49" s="16"/>
      <c r="V49" s="1862"/>
      <c r="W49" s="2255" t="s">
        <v>962</v>
      </c>
      <c r="X49" s="2255"/>
      <c r="Y49" s="2255"/>
      <c r="Z49" s="2255"/>
      <c r="AA49" s="1862"/>
      <c r="AB49" s="1862"/>
      <c r="AC49" s="1862"/>
      <c r="AD49" s="1862"/>
      <c r="AE49" s="1862"/>
      <c r="AF49" s="1862"/>
    </row>
    <row r="50" spans="13:32" ht="32.25">
      <c r="M50" s="16"/>
      <c r="N50" s="16"/>
      <c r="V50" s="1862"/>
      <c r="W50" s="1872" t="s">
        <v>683</v>
      </c>
      <c r="X50" s="1865" t="s">
        <v>961</v>
      </c>
      <c r="Y50" s="1865" t="s">
        <v>963</v>
      </c>
      <c r="Z50" s="1862"/>
      <c r="AA50" s="1862"/>
      <c r="AB50" s="1862"/>
      <c r="AC50" s="1862"/>
      <c r="AD50" s="1862"/>
      <c r="AE50" s="1862"/>
      <c r="AF50" s="1862"/>
    </row>
    <row r="51" spans="13:32" ht="20.25">
      <c r="M51" s="16"/>
      <c r="N51" s="16"/>
      <c r="V51" s="1862"/>
      <c r="W51" s="1866">
        <v>2019</v>
      </c>
      <c r="X51" s="1867"/>
      <c r="Y51" s="1868">
        <v>101715324</v>
      </c>
      <c r="Z51" s="1862" t="s">
        <v>964</v>
      </c>
      <c r="AA51" s="1862"/>
      <c r="AB51" s="1862"/>
      <c r="AC51" s="1862"/>
      <c r="AD51" s="1862"/>
      <c r="AE51" s="1862"/>
      <c r="AF51" s="1862"/>
    </row>
    <row r="52" spans="13:32" ht="20.25">
      <c r="M52" s="16"/>
      <c r="N52" s="16"/>
      <c r="V52" s="1862"/>
      <c r="W52" s="1866">
        <v>2020</v>
      </c>
      <c r="X52" s="1867"/>
      <c r="Y52" s="1868">
        <v>1164550000</v>
      </c>
      <c r="Z52" s="1862" t="s">
        <v>965</v>
      </c>
      <c r="AA52" s="1862"/>
      <c r="AB52" s="1862"/>
      <c r="AC52" s="1862"/>
      <c r="AD52" s="1862"/>
      <c r="AE52" s="1862"/>
      <c r="AF52" s="1862"/>
    </row>
    <row r="53" spans="13:32" ht="20.25">
      <c r="M53" s="16"/>
      <c r="N53" s="16"/>
      <c r="V53" s="1862"/>
      <c r="W53" s="1866">
        <v>2021</v>
      </c>
      <c r="X53" s="1867">
        <v>1286905368</v>
      </c>
      <c r="Y53" s="1868"/>
      <c r="Z53" s="1862"/>
      <c r="AA53" s="1862"/>
      <c r="AB53" s="1862"/>
      <c r="AC53" s="1862"/>
      <c r="AD53" s="1862"/>
      <c r="AE53" s="1862"/>
      <c r="AF53" s="1862"/>
    </row>
    <row r="54" spans="13:32" ht="20.25">
      <c r="M54" s="16"/>
      <c r="N54" s="16"/>
      <c r="V54" s="1862"/>
      <c r="W54" s="1866">
        <v>2022</v>
      </c>
      <c r="X54" s="1867">
        <v>160993336</v>
      </c>
      <c r="Y54" s="1868">
        <v>1534680000</v>
      </c>
      <c r="Z54" s="1862" t="s">
        <v>966</v>
      </c>
      <c r="AA54" s="1862"/>
      <c r="AB54" s="1862"/>
      <c r="AC54" s="1862"/>
      <c r="AD54" s="1862"/>
      <c r="AE54" s="1862"/>
      <c r="AF54" s="1862"/>
    </row>
    <row r="55" spans="13:32" ht="20.25">
      <c r="V55" s="1862"/>
      <c r="W55" s="1869">
        <v>2023</v>
      </c>
      <c r="X55" s="1870">
        <v>50582897.68</v>
      </c>
      <c r="Y55" s="1871"/>
      <c r="Z55" s="1862"/>
      <c r="AA55" s="1862"/>
      <c r="AB55" s="1862"/>
      <c r="AC55" s="1862"/>
      <c r="AD55" s="1862"/>
      <c r="AE55" s="1862"/>
      <c r="AF55" s="1862"/>
    </row>
    <row r="56" spans="13:32" ht="20.25">
      <c r="V56" s="1862"/>
      <c r="W56" s="1861"/>
      <c r="X56" s="1861"/>
      <c r="Y56" s="1862"/>
      <c r="Z56" s="1862"/>
      <c r="AA56" s="1862"/>
      <c r="AB56" s="1862"/>
      <c r="AC56" s="1862"/>
      <c r="AD56" s="1862"/>
      <c r="AE56" s="1862"/>
      <c r="AF56" s="1862"/>
    </row>
    <row r="57" spans="13:32" ht="20.25">
      <c r="V57" s="1862"/>
      <c r="W57" s="1861"/>
      <c r="X57" s="1862"/>
      <c r="Y57" s="1862"/>
      <c r="Z57" s="1862"/>
      <c r="AA57" s="1862"/>
      <c r="AB57" s="1862"/>
      <c r="AC57" s="1862"/>
      <c r="AD57" s="1862"/>
      <c r="AE57" s="1862"/>
      <c r="AF57" s="1862"/>
    </row>
    <row r="58" spans="13:32" ht="20.25">
      <c r="V58" s="1862"/>
      <c r="W58" s="2255" t="s">
        <v>967</v>
      </c>
      <c r="X58" s="2255"/>
      <c r="Y58" s="2255"/>
      <c r="Z58" s="2255"/>
      <c r="AA58" s="2255"/>
      <c r="AB58" s="2255"/>
      <c r="AC58" s="1862"/>
      <c r="AD58" s="1862"/>
      <c r="AE58" s="1862"/>
      <c r="AF58" s="1862"/>
    </row>
    <row r="59" spans="13:32" ht="20.25">
      <c r="V59" s="1862"/>
      <c r="W59" s="1872" t="s">
        <v>968</v>
      </c>
      <c r="X59" s="1865" t="s">
        <v>969</v>
      </c>
      <c r="Y59" s="1865" t="s">
        <v>970</v>
      </c>
      <c r="Z59" s="1865" t="s">
        <v>971</v>
      </c>
      <c r="AA59" s="1865" t="s">
        <v>972</v>
      </c>
      <c r="AB59" s="1865" t="s">
        <v>973</v>
      </c>
      <c r="AC59" s="1862"/>
      <c r="AD59" s="1862"/>
      <c r="AE59" s="1862"/>
      <c r="AF59" s="1862"/>
    </row>
    <row r="60" spans="13:32" ht="20.25">
      <c r="V60" s="1862"/>
      <c r="W60" s="1873">
        <v>2021</v>
      </c>
      <c r="X60" s="1874">
        <v>4699184</v>
      </c>
      <c r="Y60" s="1874">
        <v>5803448</v>
      </c>
      <c r="Z60" s="1874">
        <v>1302924</v>
      </c>
      <c r="AA60" s="1874">
        <v>5460840</v>
      </c>
      <c r="AB60" s="1874">
        <v>3127768</v>
      </c>
      <c r="AC60" s="1862"/>
      <c r="AD60" s="1862"/>
      <c r="AE60" s="1862"/>
      <c r="AF60" s="1862"/>
    </row>
    <row r="61" spans="13:32" ht="20.25">
      <c r="V61" s="1862"/>
      <c r="W61" s="1873">
        <v>2022</v>
      </c>
      <c r="X61" s="1874">
        <v>567588</v>
      </c>
      <c r="Y61" s="1874">
        <v>739480</v>
      </c>
      <c r="Z61" s="1874">
        <v>162008</v>
      </c>
      <c r="AA61" s="1874">
        <v>693868</v>
      </c>
      <c r="AB61" s="1874">
        <v>441364</v>
      </c>
      <c r="AC61" s="1862"/>
      <c r="AD61" s="1862"/>
      <c r="AE61" s="1862"/>
      <c r="AF61" s="1862"/>
    </row>
    <row r="62" spans="13:32" ht="20.25">
      <c r="V62" s="1862"/>
      <c r="W62" s="1861"/>
      <c r="X62" s="1862"/>
      <c r="Y62" s="1862"/>
      <c r="Z62" s="1862"/>
      <c r="AA62" s="1862"/>
      <c r="AB62" s="1862"/>
      <c r="AC62" s="1862"/>
      <c r="AD62" s="1862"/>
      <c r="AE62" s="1862"/>
      <c r="AF62" s="1862"/>
    </row>
    <row r="63" spans="13:32">
      <c r="W63" s="1096"/>
    </row>
    <row r="64" spans="13:32">
      <c r="W64" s="1096"/>
    </row>
    <row r="65" spans="23:23">
      <c r="W65" s="1096"/>
    </row>
    <row r="66" spans="23:23">
      <c r="W66" s="1096"/>
    </row>
    <row r="67" spans="23:23">
      <c r="W67" s="1096"/>
    </row>
    <row r="68" spans="23:23">
      <c r="W68" s="1096"/>
    </row>
    <row r="69" spans="23:23">
      <c r="W69" s="1096"/>
    </row>
    <row r="70" spans="23:23">
      <c r="W70" s="1096"/>
    </row>
    <row r="71" spans="23:23">
      <c r="W71" s="1096"/>
    </row>
    <row r="72" spans="23:23">
      <c r="W72" s="1096"/>
    </row>
    <row r="73" spans="23:23">
      <c r="W73" s="1096"/>
    </row>
    <row r="74" spans="23:23">
      <c r="W74" s="1096"/>
    </row>
    <row r="75" spans="23:23">
      <c r="W75" s="1096"/>
    </row>
    <row r="76" spans="23:23">
      <c r="W76" s="1096"/>
    </row>
    <row r="77" spans="23:23">
      <c r="W77" s="1096"/>
    </row>
    <row r="78" spans="23:23">
      <c r="W78" s="1096"/>
    </row>
    <row r="79" spans="23:23">
      <c r="W79" s="1096"/>
    </row>
    <row r="80" spans="23:23">
      <c r="W80" s="1096"/>
    </row>
    <row r="81" spans="23:23">
      <c r="W81" s="1096"/>
    </row>
    <row r="82" spans="23:23">
      <c r="W82" s="1096"/>
    </row>
    <row r="83" spans="23:23">
      <c r="W83" s="1096"/>
    </row>
    <row r="84" spans="23:23">
      <c r="W84" s="1096"/>
    </row>
    <row r="85" spans="23:23">
      <c r="W85" s="1096"/>
    </row>
    <row r="86" spans="23:23">
      <c r="W86" s="1096"/>
    </row>
    <row r="87" spans="23:23">
      <c r="W87" s="1096"/>
    </row>
    <row r="88" spans="23:23">
      <c r="W88" s="1096"/>
    </row>
    <row r="89" spans="23:23">
      <c r="W89" s="1096"/>
    </row>
    <row r="90" spans="23:23">
      <c r="W90" s="1096"/>
    </row>
    <row r="91" spans="23:23">
      <c r="W91" s="1096"/>
    </row>
    <row r="92" spans="23:23">
      <c r="W92" s="1096"/>
    </row>
    <row r="93" spans="23:23">
      <c r="W93" s="1096"/>
    </row>
    <row r="94" spans="23:23">
      <c r="W94" s="1096"/>
    </row>
    <row r="95" spans="23:23">
      <c r="W95" s="1096"/>
    </row>
    <row r="96" spans="23:23">
      <c r="W96" s="1096"/>
    </row>
    <row r="97" spans="23:23">
      <c r="W97" s="1096"/>
    </row>
    <row r="98" spans="23:23">
      <c r="W98" s="1096"/>
    </row>
    <row r="99" spans="23:23">
      <c r="W99" s="1096"/>
    </row>
    <row r="100" spans="23:23">
      <c r="W100" s="1096"/>
    </row>
    <row r="101" spans="23:23">
      <c r="W101" s="1096"/>
    </row>
    <row r="102" spans="23:23">
      <c r="W102" s="1096"/>
    </row>
    <row r="103" spans="23:23">
      <c r="W103" s="1096"/>
    </row>
    <row r="104" spans="23:23">
      <c r="W104" s="1096"/>
    </row>
    <row r="105" spans="23:23">
      <c r="W105" s="1096"/>
    </row>
    <row r="106" spans="23:23">
      <c r="W106" s="1096"/>
    </row>
    <row r="107" spans="23:23">
      <c r="W107" s="1096"/>
    </row>
    <row r="108" spans="23:23">
      <c r="W108" s="1096"/>
    </row>
    <row r="109" spans="23:23">
      <c r="W109" s="1096"/>
    </row>
    <row r="110" spans="23:23">
      <c r="W110" s="1096"/>
    </row>
    <row r="111" spans="23:23">
      <c r="W111" s="1096"/>
    </row>
    <row r="112" spans="23:23">
      <c r="W112" s="1096"/>
    </row>
    <row r="113" spans="23:23">
      <c r="W113" s="1096"/>
    </row>
    <row r="114" spans="23:23">
      <c r="W114" s="1096"/>
    </row>
    <row r="115" spans="23:23">
      <c r="W115" s="1096"/>
    </row>
    <row r="116" spans="23:23">
      <c r="W116" s="1096"/>
    </row>
    <row r="117" spans="23:23">
      <c r="W117" s="1096"/>
    </row>
    <row r="118" spans="23:23">
      <c r="W118" s="1096"/>
    </row>
    <row r="119" spans="23:23">
      <c r="W119" s="1096"/>
    </row>
    <row r="120" spans="23:23">
      <c r="W120" s="1096"/>
    </row>
    <row r="121" spans="23:23">
      <c r="W121" s="1096"/>
    </row>
    <row r="122" spans="23:23">
      <c r="W122" s="1096"/>
    </row>
    <row r="123" spans="23:23">
      <c r="W123" s="1096"/>
    </row>
    <row r="124" spans="23:23">
      <c r="W124" s="1096"/>
    </row>
    <row r="125" spans="23:23">
      <c r="W125" s="1096"/>
    </row>
    <row r="126" spans="23:23">
      <c r="W126" s="1096"/>
    </row>
    <row r="127" spans="23:23">
      <c r="W127" s="1096"/>
    </row>
    <row r="128" spans="23:23">
      <c r="W128" s="1096"/>
    </row>
    <row r="129" spans="23:23">
      <c r="W129" s="1096"/>
    </row>
    <row r="130" spans="23:23">
      <c r="W130" s="1096"/>
    </row>
    <row r="131" spans="23:23">
      <c r="W131" s="1096"/>
    </row>
    <row r="132" spans="23:23">
      <c r="W132" s="1096"/>
    </row>
    <row r="133" spans="23:23">
      <c r="W133" s="1096"/>
    </row>
    <row r="134" spans="23:23">
      <c r="W134" s="1096"/>
    </row>
    <row r="135" spans="23:23">
      <c r="W135" s="1096"/>
    </row>
    <row r="136" spans="23:23">
      <c r="W136" s="1096"/>
    </row>
    <row r="137" spans="23:23">
      <c r="W137" s="1096"/>
    </row>
    <row r="138" spans="23:23">
      <c r="W138" s="1096"/>
    </row>
    <row r="139" spans="23:23">
      <c r="W139" s="1096"/>
    </row>
    <row r="140" spans="23:23">
      <c r="W140" s="1096"/>
    </row>
    <row r="141" spans="23:23">
      <c r="W141" s="1096"/>
    </row>
    <row r="142" spans="23:23">
      <c r="W142" s="1096"/>
    </row>
    <row r="143" spans="23:23">
      <c r="W143" s="1096"/>
    </row>
    <row r="144" spans="23:23">
      <c r="W144" s="1096"/>
    </row>
    <row r="145" spans="23:23">
      <c r="W145" s="1096"/>
    </row>
    <row r="146" spans="23:23">
      <c r="W146" s="1096"/>
    </row>
    <row r="147" spans="23:23">
      <c r="W147" s="1096"/>
    </row>
    <row r="148" spans="23:23">
      <c r="W148" s="1096"/>
    </row>
    <row r="149" spans="23:23">
      <c r="W149" s="1096"/>
    </row>
    <row r="150" spans="23:23">
      <c r="W150" s="1096"/>
    </row>
    <row r="151" spans="23:23">
      <c r="W151" s="1096"/>
    </row>
    <row r="152" spans="23:23">
      <c r="W152" s="1096"/>
    </row>
    <row r="153" spans="23:23">
      <c r="W153" s="1096"/>
    </row>
    <row r="154" spans="23:23">
      <c r="W154" s="1096"/>
    </row>
    <row r="155" spans="23:23">
      <c r="W155" s="1096"/>
    </row>
    <row r="156" spans="23:23">
      <c r="W156" s="1096"/>
    </row>
    <row r="157" spans="23:23">
      <c r="W157" s="1096"/>
    </row>
    <row r="158" spans="23:23">
      <c r="W158" s="1096"/>
    </row>
    <row r="159" spans="23:23">
      <c r="W159" s="1096"/>
    </row>
    <row r="160" spans="23:23">
      <c r="W160" s="1096"/>
    </row>
    <row r="161" spans="23:23">
      <c r="W161" s="1096"/>
    </row>
    <row r="162" spans="23:23">
      <c r="W162" s="1096"/>
    </row>
    <row r="163" spans="23:23">
      <c r="W163" s="1096"/>
    </row>
    <row r="164" spans="23:23">
      <c r="W164" s="1096"/>
    </row>
    <row r="165" spans="23:23">
      <c r="W165" s="1096"/>
    </row>
    <row r="166" spans="23:23">
      <c r="W166" s="1096"/>
    </row>
    <row r="167" spans="23:23">
      <c r="W167" s="1096"/>
    </row>
    <row r="168" spans="23:23">
      <c r="W168" s="1096"/>
    </row>
    <row r="169" spans="23:23">
      <c r="W169" s="1096"/>
    </row>
    <row r="170" spans="23:23">
      <c r="W170" s="1096"/>
    </row>
    <row r="171" spans="23:23">
      <c r="W171" s="1096"/>
    </row>
    <row r="172" spans="23:23">
      <c r="W172" s="1096"/>
    </row>
    <row r="173" spans="23:23">
      <c r="W173" s="1096"/>
    </row>
    <row r="174" spans="23:23">
      <c r="W174" s="1096"/>
    </row>
    <row r="175" spans="23:23">
      <c r="W175" s="1096"/>
    </row>
    <row r="176" spans="23:23">
      <c r="W176" s="1096"/>
    </row>
    <row r="177" spans="23:23">
      <c r="W177" s="1096"/>
    </row>
    <row r="178" spans="23:23">
      <c r="W178" s="1096"/>
    </row>
    <row r="179" spans="23:23">
      <c r="W179" s="1096"/>
    </row>
    <row r="180" spans="23:23">
      <c r="W180" s="1096"/>
    </row>
    <row r="181" spans="23:23">
      <c r="W181" s="1096"/>
    </row>
    <row r="182" spans="23:23">
      <c r="W182" s="1096"/>
    </row>
    <row r="183" spans="23:23">
      <c r="W183" s="1096"/>
    </row>
    <row r="184" spans="23:23">
      <c r="W184" s="1096"/>
    </row>
    <row r="185" spans="23:23">
      <c r="W185" s="1096"/>
    </row>
    <row r="186" spans="23:23">
      <c r="W186" s="1096"/>
    </row>
    <row r="187" spans="23:23">
      <c r="W187" s="1096"/>
    </row>
    <row r="188" spans="23:23">
      <c r="W188" s="1096"/>
    </row>
    <row r="189" spans="23:23">
      <c r="W189" s="1096"/>
    </row>
    <row r="190" spans="23:23">
      <c r="W190" s="1096"/>
    </row>
    <row r="191" spans="23:23">
      <c r="W191" s="1096"/>
    </row>
    <row r="192" spans="23:23">
      <c r="W192" s="1096"/>
    </row>
    <row r="193" spans="23:23">
      <c r="W193" s="1096"/>
    </row>
    <row r="194" spans="23:23">
      <c r="W194" s="1096"/>
    </row>
    <row r="195" spans="23:23">
      <c r="W195" s="1096"/>
    </row>
    <row r="196" spans="23:23">
      <c r="W196" s="1096"/>
    </row>
    <row r="197" spans="23:23">
      <c r="W197" s="1096"/>
    </row>
    <row r="198" spans="23:23">
      <c r="W198" s="1096"/>
    </row>
    <row r="199" spans="23:23">
      <c r="W199" s="1096"/>
    </row>
    <row r="200" spans="23:23">
      <c r="W200" s="1096"/>
    </row>
    <row r="201" spans="23:23">
      <c r="W201" s="1096"/>
    </row>
    <row r="202" spans="23:23">
      <c r="W202" s="1096"/>
    </row>
    <row r="203" spans="23:23">
      <c r="W203" s="1096"/>
    </row>
    <row r="204" spans="23:23">
      <c r="W204" s="1096"/>
    </row>
    <row r="205" spans="23:23">
      <c r="W205" s="1096"/>
    </row>
    <row r="206" spans="23:23">
      <c r="W206" s="1096"/>
    </row>
    <row r="207" spans="23:23">
      <c r="W207" s="1096"/>
    </row>
    <row r="208" spans="23:23">
      <c r="W208" s="1096"/>
    </row>
    <row r="209" spans="23:23">
      <c r="W209" s="1096"/>
    </row>
    <row r="210" spans="23:23">
      <c r="W210" s="1096"/>
    </row>
    <row r="211" spans="23:23">
      <c r="W211" s="1096"/>
    </row>
    <row r="212" spans="23:23">
      <c r="W212" s="1096"/>
    </row>
    <row r="213" spans="23:23">
      <c r="W213" s="1096"/>
    </row>
    <row r="214" spans="23:23">
      <c r="W214" s="1096"/>
    </row>
    <row r="215" spans="23:23">
      <c r="W215" s="1096"/>
    </row>
    <row r="216" spans="23:23">
      <c r="W216" s="1096"/>
    </row>
    <row r="217" spans="23:23">
      <c r="W217" s="1096"/>
    </row>
    <row r="218" spans="23:23">
      <c r="W218" s="1096"/>
    </row>
    <row r="219" spans="23:23">
      <c r="W219" s="1096"/>
    </row>
    <row r="220" spans="23:23">
      <c r="W220" s="1096"/>
    </row>
    <row r="221" spans="23:23">
      <c r="W221" s="1096"/>
    </row>
    <row r="222" spans="23:23">
      <c r="W222" s="1096"/>
    </row>
    <row r="223" spans="23:23">
      <c r="W223" s="1096"/>
    </row>
    <row r="224" spans="23:23">
      <c r="W224" s="1096"/>
    </row>
    <row r="225" spans="23:23">
      <c r="W225" s="1096"/>
    </row>
    <row r="226" spans="23:23">
      <c r="W226" s="1096"/>
    </row>
    <row r="227" spans="23:23">
      <c r="W227" s="1096"/>
    </row>
    <row r="228" spans="23:23">
      <c r="W228" s="1096"/>
    </row>
    <row r="229" spans="23:23">
      <c r="W229" s="1096"/>
    </row>
    <row r="230" spans="23:23">
      <c r="W230" s="1096"/>
    </row>
    <row r="231" spans="23:23">
      <c r="W231" s="1096"/>
    </row>
    <row r="232" spans="23:23">
      <c r="W232" s="1096"/>
    </row>
    <row r="233" spans="23:23">
      <c r="W233" s="1096"/>
    </row>
    <row r="234" spans="23:23">
      <c r="W234" s="1096"/>
    </row>
    <row r="235" spans="23:23">
      <c r="W235" s="1096"/>
    </row>
    <row r="236" spans="23:23">
      <c r="W236" s="1096"/>
    </row>
    <row r="237" spans="23:23">
      <c r="W237" s="1096"/>
    </row>
    <row r="238" spans="23:23">
      <c r="W238" s="1096"/>
    </row>
    <row r="239" spans="23:23">
      <c r="W239" s="1096"/>
    </row>
    <row r="240" spans="23:23">
      <c r="W240" s="1096"/>
    </row>
    <row r="241" spans="23:23">
      <c r="W241" s="1096"/>
    </row>
    <row r="242" spans="23:23">
      <c r="W242" s="1096"/>
    </row>
    <row r="243" spans="23:23">
      <c r="W243" s="1096"/>
    </row>
    <row r="244" spans="23:23">
      <c r="W244" s="1096"/>
    </row>
    <row r="245" spans="23:23">
      <c r="W245" s="1096"/>
    </row>
    <row r="246" spans="23:23">
      <c r="W246" s="1096"/>
    </row>
    <row r="247" spans="23:23">
      <c r="W247" s="1096"/>
    </row>
    <row r="248" spans="23:23">
      <c r="W248" s="1096"/>
    </row>
    <row r="249" spans="23:23">
      <c r="W249" s="1096"/>
    </row>
    <row r="250" spans="23:23">
      <c r="W250" s="1096"/>
    </row>
    <row r="251" spans="23:23">
      <c r="W251" s="1096"/>
    </row>
    <row r="252" spans="23:23">
      <c r="W252" s="1096"/>
    </row>
    <row r="253" spans="23:23">
      <c r="W253" s="1096"/>
    </row>
    <row r="254" spans="23:23">
      <c r="W254" s="1096"/>
    </row>
    <row r="255" spans="23:23">
      <c r="W255" s="1096"/>
    </row>
    <row r="256" spans="23:23">
      <c r="W256" s="1096"/>
    </row>
    <row r="257" spans="23:23">
      <c r="W257" s="1096"/>
    </row>
    <row r="258" spans="23:23">
      <c r="W258" s="1096"/>
    </row>
    <row r="259" spans="23:23">
      <c r="W259" s="1096"/>
    </row>
    <row r="260" spans="23:23">
      <c r="W260" s="1096"/>
    </row>
    <row r="261" spans="23:23">
      <c r="W261" s="1096"/>
    </row>
    <row r="262" spans="23:23">
      <c r="W262" s="1096"/>
    </row>
    <row r="263" spans="23:23">
      <c r="W263" s="1096"/>
    </row>
    <row r="264" spans="23:23">
      <c r="W264" s="1096"/>
    </row>
    <row r="265" spans="23:23">
      <c r="W265" s="1096"/>
    </row>
    <row r="266" spans="23:23">
      <c r="W266" s="1096"/>
    </row>
    <row r="267" spans="23:23">
      <c r="W267" s="1096"/>
    </row>
    <row r="268" spans="23:23">
      <c r="W268" s="1096"/>
    </row>
    <row r="269" spans="23:23">
      <c r="W269" s="1096"/>
    </row>
    <row r="270" spans="23:23">
      <c r="W270" s="1096"/>
    </row>
    <row r="271" spans="23:23">
      <c r="W271" s="1096"/>
    </row>
    <row r="272" spans="23:23">
      <c r="W272" s="1096"/>
    </row>
    <row r="273" spans="23:23">
      <c r="W273" s="1096"/>
    </row>
    <row r="274" spans="23:23">
      <c r="W274" s="1096"/>
    </row>
    <row r="275" spans="23:23">
      <c r="W275" s="1096"/>
    </row>
    <row r="276" spans="23:23">
      <c r="W276" s="1096"/>
    </row>
    <row r="277" spans="23:23">
      <c r="W277" s="1096"/>
    </row>
    <row r="278" spans="23:23">
      <c r="W278" s="1096"/>
    </row>
    <row r="279" spans="23:23">
      <c r="W279" s="1096"/>
    </row>
    <row r="280" spans="23:23">
      <c r="W280" s="1096"/>
    </row>
    <row r="281" spans="23:23">
      <c r="W281" s="1096"/>
    </row>
    <row r="282" spans="23:23">
      <c r="W282" s="1096"/>
    </row>
  </sheetData>
  <mergeCells count="13">
    <mergeCell ref="A1:K1"/>
    <mergeCell ref="A19:F19"/>
    <mergeCell ref="A18:K18"/>
    <mergeCell ref="H4:K4"/>
    <mergeCell ref="B4:G4"/>
    <mergeCell ref="A2:K2"/>
    <mergeCell ref="X41:Y41"/>
    <mergeCell ref="W49:Z49"/>
    <mergeCell ref="W58:AB58"/>
    <mergeCell ref="O11:U11"/>
    <mergeCell ref="P13:U13"/>
    <mergeCell ref="W13:AD13"/>
    <mergeCell ref="W39:Z39"/>
  </mergeCells>
  <conditionalFormatting sqref="W43:W46">
    <cfRule type="cellIs" dxfId="398" priority="2" operator="equal">
      <formula>0</formula>
    </cfRule>
  </conditionalFormatting>
  <conditionalFormatting sqref="W51:W55">
    <cfRule type="cellIs" dxfId="397"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1">
    <tabColor theme="3" tint="0.59999389629810485"/>
    <pageSetUpPr fitToPage="1"/>
  </sheetPr>
  <dimension ref="A1:U74"/>
  <sheetViews>
    <sheetView showGridLines="0" view="pageBreakPreview" zoomScale="85" zoomScaleNormal="100" zoomScaleSheetLayoutView="85" workbookViewId="0">
      <selection activeCell="D16" sqref="D16"/>
    </sheetView>
  </sheetViews>
  <sheetFormatPr defaultColWidth="11.42578125" defaultRowHeight="14.25"/>
  <cols>
    <col min="1" max="1" width="17.140625" style="511" customWidth="1"/>
    <col min="2" max="2" width="21.42578125" style="511" customWidth="1"/>
    <col min="3" max="3" width="23.140625" style="511" bestFit="1" customWidth="1"/>
    <col min="4" max="4" width="16.7109375" style="511" bestFit="1" customWidth="1"/>
    <col min="5" max="5" width="28.5703125" style="511" customWidth="1"/>
    <col min="6" max="6" width="31.28515625" style="513" customWidth="1"/>
    <col min="7" max="7" width="18" style="513" customWidth="1"/>
    <col min="8" max="8" width="24.42578125" style="511" customWidth="1"/>
    <col min="9" max="9" width="23.28515625" style="511" bestFit="1" customWidth="1"/>
    <col min="10" max="10" width="17.85546875" style="511" bestFit="1" customWidth="1"/>
    <col min="11" max="11" width="18.85546875" style="511" bestFit="1" customWidth="1"/>
    <col min="12" max="12" width="28.5703125" style="511" customWidth="1"/>
    <col min="13" max="14" width="18.85546875" style="511" bestFit="1" customWidth="1"/>
    <col min="15" max="15" width="18.42578125" style="511" bestFit="1" customWidth="1"/>
    <col min="16" max="16384" width="11.42578125" style="511"/>
  </cols>
  <sheetData>
    <row r="1" spans="1:21" ht="32.25" customHeight="1">
      <c r="A1" s="2277" t="s">
        <v>974</v>
      </c>
      <c r="B1" s="2278"/>
      <c r="C1" s="2278"/>
      <c r="D1" s="2278"/>
      <c r="E1" s="2278"/>
      <c r="F1" s="2278"/>
      <c r="G1" s="2279"/>
      <c r="H1" s="512"/>
    </row>
    <row r="2" spans="1:21" ht="24.75" customHeight="1">
      <c r="A2" s="2280" t="s">
        <v>936</v>
      </c>
      <c r="B2" s="2281"/>
      <c r="C2" s="2281"/>
      <c r="D2" s="2281"/>
      <c r="E2" s="2281"/>
      <c r="F2" s="2281"/>
      <c r="G2" s="2282"/>
      <c r="H2" s="512"/>
    </row>
    <row r="3" spans="1:21" ht="6.75" customHeight="1">
      <c r="H3" s="512"/>
    </row>
    <row r="4" spans="1:21" s="515" customFormat="1" ht="44.25" customHeight="1">
      <c r="A4" s="1142" t="s">
        <v>683</v>
      </c>
      <c r="B4" s="1143" t="s">
        <v>975</v>
      </c>
      <c r="C4" s="1143" t="s">
        <v>976</v>
      </c>
      <c r="D4" s="1144" t="s">
        <v>977</v>
      </c>
      <c r="E4" s="1145" t="s">
        <v>978</v>
      </c>
      <c r="F4" s="514"/>
      <c r="G4" s="514"/>
      <c r="H4" s="512"/>
      <c r="I4" s="511"/>
      <c r="J4" s="511"/>
      <c r="K4" s="511"/>
      <c r="L4" s="511"/>
      <c r="M4" s="511"/>
      <c r="N4" s="511"/>
      <c r="O4" s="511"/>
      <c r="P4" s="511"/>
      <c r="Q4" s="511"/>
      <c r="R4" s="511"/>
      <c r="S4" s="511"/>
      <c r="T4" s="511"/>
      <c r="U4" s="511"/>
    </row>
    <row r="5" spans="1:21">
      <c r="A5" s="923">
        <v>2015</v>
      </c>
      <c r="B5" s="925">
        <v>29250900435.389999</v>
      </c>
      <c r="C5" s="925">
        <v>49801471613.939987</v>
      </c>
      <c r="D5" s="925">
        <v>0</v>
      </c>
      <c r="E5" s="924">
        <f>+Tabla26[[#This Row],[PE_Aportes Extraordinario Persona]]+Tabla26[[#This Row],[Sector Privado]]+Tabla26[[#This Row],[Sector  Público]]</f>
        <v>79052372049.329987</v>
      </c>
      <c r="H5" s="512"/>
    </row>
    <row r="6" spans="1:21" ht="18">
      <c r="A6" s="923">
        <v>2016</v>
      </c>
      <c r="B6" s="925">
        <v>33197918782.480003</v>
      </c>
      <c r="C6" s="925">
        <v>55851245438.969994</v>
      </c>
      <c r="D6" s="925"/>
      <c r="E6" s="924">
        <f>+Tabla26[[#This Row],[PE_Aportes Extraordinario Persona]]+Tabla26[[#This Row],[Sector Privado]]+Tabla26[[#This Row],[Sector  Público]]</f>
        <v>89049164221.449997</v>
      </c>
      <c r="H6" s="512"/>
      <c r="I6" s="2283" t="s">
        <v>979</v>
      </c>
      <c r="J6" s="2283"/>
      <c r="K6" s="2283"/>
      <c r="L6" s="2283"/>
      <c r="M6" s="2283"/>
      <c r="N6" s="2283"/>
      <c r="O6" s="2283"/>
      <c r="P6" s="515"/>
      <c r="Q6" s="515"/>
      <c r="R6" s="515"/>
      <c r="S6" s="515"/>
      <c r="T6" s="515"/>
      <c r="U6" s="515"/>
    </row>
    <row r="7" spans="1:21">
      <c r="A7" s="923">
        <v>2017</v>
      </c>
      <c r="B7" s="925">
        <v>37563341220.540001</v>
      </c>
      <c r="C7" s="925">
        <v>62094410132.149994</v>
      </c>
      <c r="D7" s="925">
        <v>0</v>
      </c>
      <c r="E7" s="924">
        <f>+Tabla26[[#This Row],[PE_Aportes Extraordinario Persona]]+Tabla26[[#This Row],[Sector Privado]]+Tabla26[[#This Row],[Sector  Público]]</f>
        <v>99657751352.690002</v>
      </c>
      <c r="H7" s="512"/>
      <c r="I7" s="1878"/>
      <c r="J7" s="1878"/>
      <c r="K7" s="1878"/>
      <c r="L7" s="1878"/>
      <c r="M7" s="1878"/>
      <c r="N7" s="1878"/>
      <c r="O7" s="1878"/>
    </row>
    <row r="8" spans="1:21" ht="15.75" customHeight="1">
      <c r="A8" s="923">
        <v>2018</v>
      </c>
      <c r="B8" s="925">
        <v>42779387567.769997</v>
      </c>
      <c r="C8" s="925">
        <v>70074621814.729996</v>
      </c>
      <c r="D8" s="925">
        <v>0</v>
      </c>
      <c r="E8" s="924">
        <f>+Tabla26[[#This Row],[PE_Aportes Extraordinario Persona]]+Tabla26[[#This Row],[Sector Privado]]+Tabla26[[#This Row],[Sector  Público]]</f>
        <v>112854009382.5</v>
      </c>
      <c r="H8" s="517">
        <f>+J9-B5</f>
        <v>0</v>
      </c>
      <c r="I8" s="1879" t="s">
        <v>683</v>
      </c>
      <c r="J8" s="1879" t="s">
        <v>975</v>
      </c>
      <c r="K8" s="1879" t="s">
        <v>976</v>
      </c>
      <c r="L8" s="1880" t="s">
        <v>977</v>
      </c>
      <c r="M8" s="1879" t="s">
        <v>978</v>
      </c>
      <c r="N8" s="1881" t="s">
        <v>980</v>
      </c>
      <c r="O8" s="1882"/>
    </row>
    <row r="9" spans="1:21">
      <c r="A9" s="923">
        <v>2019</v>
      </c>
      <c r="B9" s="925">
        <v>46474324202.029999</v>
      </c>
      <c r="C9" s="925">
        <v>76436493567.029984</v>
      </c>
      <c r="D9" s="925">
        <v>0</v>
      </c>
      <c r="E9" s="924">
        <f>+Tabla26[[#This Row],[PE_Aportes Extraordinario Persona]]+Tabla26[[#This Row],[Sector Privado]]+Tabla26[[#This Row],[Sector  Público]]</f>
        <v>122910817769.05998</v>
      </c>
      <c r="H9" s="517">
        <f t="shared" ref="H9:H18" si="0">+J10-B6</f>
        <v>0</v>
      </c>
      <c r="I9" s="1883">
        <v>2015</v>
      </c>
      <c r="J9" s="1884">
        <v>29250900435.389999</v>
      </c>
      <c r="K9" s="1884">
        <v>49801471613.939987</v>
      </c>
      <c r="L9" s="1884">
        <v>0</v>
      </c>
      <c r="M9" s="1885">
        <f t="shared" ref="M9:M18" si="1">+J9+K9+L9</f>
        <v>79052372049.329987</v>
      </c>
      <c r="N9" s="1881">
        <f>+'[10]REC POR SECTOR'!U72</f>
        <v>0</v>
      </c>
      <c r="O9" s="1886">
        <f>+M9-N9</f>
        <v>79052372049.329987</v>
      </c>
    </row>
    <row r="10" spans="1:21">
      <c r="A10" s="923">
        <v>2020</v>
      </c>
      <c r="B10" s="925">
        <v>51494714927.979996</v>
      </c>
      <c r="C10" s="925">
        <v>69903275637.529999</v>
      </c>
      <c r="D10" s="925">
        <v>0</v>
      </c>
      <c r="E10" s="924">
        <f>+Tabla26[[#This Row],[PE_Aportes Extraordinario Persona]]+Tabla26[[#This Row],[Sector Privado]]+Tabla26[[#This Row],[Sector  Público]]</f>
        <v>121397990565.50999</v>
      </c>
      <c r="H10" s="517">
        <f t="shared" si="0"/>
        <v>0</v>
      </c>
      <c r="I10" s="1883">
        <v>2016</v>
      </c>
      <c r="J10" s="1884">
        <v>33197918782.480003</v>
      </c>
      <c r="K10" s="1884">
        <v>55851245438.969994</v>
      </c>
      <c r="L10" s="1884"/>
      <c r="M10" s="1885">
        <f t="shared" si="1"/>
        <v>89049164221.449997</v>
      </c>
      <c r="N10" s="1886">
        <f>+'[10]REC POR SECTOR'!V72</f>
        <v>0</v>
      </c>
      <c r="O10" s="1886">
        <f t="shared" ref="O10:O18" si="2">+N10-M10</f>
        <v>-89049164221.449997</v>
      </c>
    </row>
    <row r="11" spans="1:21" s="518" customFormat="1">
      <c r="A11" s="923">
        <v>2021</v>
      </c>
      <c r="B11" s="925">
        <v>53978644084.049988</v>
      </c>
      <c r="C11" s="925">
        <v>85663651015.01001</v>
      </c>
      <c r="D11" s="925">
        <v>233614.27</v>
      </c>
      <c r="E11" s="924">
        <f>+Tabla26[[#This Row],[PE_Aportes Extraordinario Persona]]+Tabla26[[#This Row],[Sector Privado]]+Tabla26[[#This Row],[Sector  Público]]</f>
        <v>139642528713.33002</v>
      </c>
      <c r="F11" s="513"/>
      <c r="G11" s="516"/>
      <c r="H11" s="517">
        <f t="shared" si="0"/>
        <v>0</v>
      </c>
      <c r="I11" s="1883">
        <v>2017</v>
      </c>
      <c r="J11" s="1884">
        <v>37563341220.540001</v>
      </c>
      <c r="K11" s="1884">
        <v>62094410132.149994</v>
      </c>
      <c r="L11" s="1884">
        <v>0</v>
      </c>
      <c r="M11" s="1885">
        <f t="shared" si="1"/>
        <v>99657751352.690002</v>
      </c>
      <c r="N11" s="1886">
        <f>+'[10]REC POR SECTOR'!W72</f>
        <v>0</v>
      </c>
      <c r="O11" s="1886">
        <f t="shared" si="2"/>
        <v>-99657751352.690002</v>
      </c>
      <c r="P11" s="511"/>
      <c r="Q11" s="511"/>
      <c r="R11" s="511"/>
      <c r="S11" s="511"/>
      <c r="T11" s="511"/>
      <c r="U11" s="511"/>
    </row>
    <row r="12" spans="1:21" s="518" customFormat="1">
      <c r="A12" s="926">
        <v>2022</v>
      </c>
      <c r="B12" s="925">
        <v>64772307526.060005</v>
      </c>
      <c r="C12" s="925">
        <v>103754040948.02998</v>
      </c>
      <c r="D12" s="925">
        <v>7225756.8099999996</v>
      </c>
      <c r="E12" s="924">
        <f>+Tabla26[[#This Row],[PE_Aportes Extraordinario Persona]]+Tabla26[[#This Row],[Sector Privado]]+Tabla26[[#This Row],[Sector  Público]]</f>
        <v>168533574230.89999</v>
      </c>
      <c r="F12" s="513"/>
      <c r="G12" s="516"/>
      <c r="H12" s="517">
        <f t="shared" si="0"/>
        <v>0</v>
      </c>
      <c r="I12" s="1883">
        <v>2018</v>
      </c>
      <c r="J12" s="1884">
        <v>42779387567.769997</v>
      </c>
      <c r="K12" s="1884">
        <v>70074621814.729996</v>
      </c>
      <c r="L12" s="1884">
        <v>0</v>
      </c>
      <c r="M12" s="1885">
        <f t="shared" si="1"/>
        <v>112854009382.5</v>
      </c>
      <c r="N12" s="1886">
        <f>+'[10]REC POR SECTOR'!$G$68</f>
        <v>112854009382.5</v>
      </c>
      <c r="O12" s="1886">
        <f t="shared" si="2"/>
        <v>0</v>
      </c>
      <c r="P12" s="511"/>
      <c r="Q12" s="511"/>
      <c r="R12" s="511"/>
      <c r="S12" s="511"/>
      <c r="T12" s="511"/>
      <c r="U12" s="511"/>
    </row>
    <row r="13" spans="1:21" s="518" customFormat="1">
      <c r="A13" s="926">
        <v>2023</v>
      </c>
      <c r="B13" s="925">
        <v>69507971864.880005</v>
      </c>
      <c r="C13" s="925">
        <v>119949915484.78999</v>
      </c>
      <c r="D13" s="925">
        <v>19354551.170000002</v>
      </c>
      <c r="E13" s="924">
        <f>+Tabla26[[#This Row],[PE_Aportes Extraordinario Persona]]+Tabla26[[#This Row],[Sector Privado]]+Tabla26[[#This Row],[Sector  Público]]</f>
        <v>189477241900.84</v>
      </c>
      <c r="F13" s="513"/>
      <c r="G13" s="516"/>
      <c r="H13" s="517">
        <f t="shared" si="0"/>
        <v>0</v>
      </c>
      <c r="I13" s="1887">
        <v>2019</v>
      </c>
      <c r="J13" s="1888">
        <v>46474324202.029999</v>
      </c>
      <c r="K13" s="1888">
        <v>76436493567.029984</v>
      </c>
      <c r="L13" s="1884">
        <v>0</v>
      </c>
      <c r="M13" s="1885">
        <f t="shared" si="1"/>
        <v>122910817769.05998</v>
      </c>
      <c r="N13" s="1886">
        <f>+'[10]REC POR SECTOR'!$H$68</f>
        <v>122910817769.05998</v>
      </c>
      <c r="O13" s="1886">
        <f t="shared" si="2"/>
        <v>0</v>
      </c>
      <c r="P13" s="511"/>
      <c r="Q13" s="511"/>
      <c r="R13" s="511"/>
      <c r="S13" s="511"/>
      <c r="T13" s="511"/>
      <c r="U13" s="511"/>
    </row>
    <row r="14" spans="1:21" s="518" customFormat="1">
      <c r="A14" s="926">
        <v>2024</v>
      </c>
      <c r="B14" s="925">
        <v>75792423848.719986</v>
      </c>
      <c r="C14" s="925">
        <v>135778582924.50003</v>
      </c>
      <c r="D14" s="925">
        <v>47570958.620000005</v>
      </c>
      <c r="E14" s="924">
        <f>+Tabla26[[#This Row],[PE_Aportes Extraordinario Persona]]+Tabla26[[#This Row],[Sector Privado]]+Tabla26[[#This Row],[Sector  Público]]</f>
        <v>211618577731.84003</v>
      </c>
      <c r="F14" s="513"/>
      <c r="G14" s="516"/>
      <c r="H14" s="517">
        <f t="shared" si="0"/>
        <v>0</v>
      </c>
      <c r="I14" s="1883">
        <v>2020</v>
      </c>
      <c r="J14" s="1884">
        <v>51494714927.979996</v>
      </c>
      <c r="K14" s="1884">
        <v>69903275637.529999</v>
      </c>
      <c r="L14" s="1884">
        <v>0</v>
      </c>
      <c r="M14" s="1885">
        <f t="shared" si="1"/>
        <v>121397990565.50999</v>
      </c>
      <c r="N14" s="1886">
        <f>+'[10]REC POR SECTOR'!$I$68</f>
        <v>121397990565.50998</v>
      </c>
      <c r="O14" s="1886">
        <f t="shared" si="2"/>
        <v>0</v>
      </c>
      <c r="P14" s="511"/>
      <c r="Q14" s="511"/>
      <c r="R14" s="511"/>
      <c r="S14" s="511"/>
      <c r="T14" s="511"/>
      <c r="U14" s="511"/>
    </row>
    <row r="15" spans="1:21">
      <c r="A15" s="1779" t="str">
        <f>+'Resumen '!O6</f>
        <v>Abr.2025</v>
      </c>
      <c r="B15" s="925">
        <v>26579152758.75</v>
      </c>
      <c r="C15" s="925">
        <v>46853466016.43</v>
      </c>
      <c r="D15" s="925">
        <v>28288931.530000001</v>
      </c>
      <c r="E15" s="924">
        <f>+Tabla26[[#This Row],[PE_Aportes Extraordinario Persona]]+Tabla26[[#This Row],[Sector Privado]]+Tabla26[[#This Row],[Sector  Público]]</f>
        <v>73460907706.709991</v>
      </c>
      <c r="F15" s="516"/>
      <c r="H15" s="517">
        <f t="shared" si="0"/>
        <v>0</v>
      </c>
      <c r="I15" s="1887">
        <v>2021</v>
      </c>
      <c r="J15" s="1888">
        <v>53978644084.049988</v>
      </c>
      <c r="K15" s="1888">
        <v>85663651015.01001</v>
      </c>
      <c r="L15" s="1889">
        <v>233614.27</v>
      </c>
      <c r="M15" s="1885">
        <f t="shared" si="1"/>
        <v>139642528713.32999</v>
      </c>
      <c r="N15" s="1886">
        <f>+'[10]REC POR SECTOR'!$K$68</f>
        <v>139642528713.32999</v>
      </c>
      <c r="O15" s="1886">
        <f t="shared" si="2"/>
        <v>0</v>
      </c>
    </row>
    <row r="16" spans="1:21">
      <c r="A16" s="927" t="s">
        <v>699</v>
      </c>
      <c r="B16" s="928">
        <f>SUM(B5:B15)</f>
        <v>531391087218.64996</v>
      </c>
      <c r="C16" s="928">
        <f>SUM(C5:C15)</f>
        <v>876161174593.11011</v>
      </c>
      <c r="D16" s="928">
        <f>SUM(D5:D15)</f>
        <v>102673812.40000001</v>
      </c>
      <c r="E16" s="929">
        <f>SUM(E5:E15)</f>
        <v>1407654935624.1599</v>
      </c>
      <c r="H16" s="517">
        <f t="shared" si="0"/>
        <v>0</v>
      </c>
      <c r="I16" s="1890">
        <v>2022</v>
      </c>
      <c r="J16" s="1891">
        <v>64772307526.060005</v>
      </c>
      <c r="K16" s="1891">
        <v>103754040948.02998</v>
      </c>
      <c r="L16" s="1891">
        <v>7225756.8099999996</v>
      </c>
      <c r="M16" s="1885">
        <f t="shared" si="1"/>
        <v>168533574230.89999</v>
      </c>
      <c r="N16" s="1886">
        <f>+'[10]REC POR SECTOR'!$L$68</f>
        <v>168533574230.89999</v>
      </c>
      <c r="O16" s="1886">
        <f t="shared" si="2"/>
        <v>0</v>
      </c>
    </row>
    <row r="17" spans="1:21">
      <c r="A17" s="831" t="s">
        <v>186</v>
      </c>
      <c r="B17" s="831"/>
      <c r="C17" s="831"/>
      <c r="D17" s="831"/>
      <c r="E17" s="831"/>
      <c r="H17" s="517">
        <f t="shared" si="0"/>
        <v>0</v>
      </c>
      <c r="I17" s="1892">
        <v>2023</v>
      </c>
      <c r="J17" s="1893">
        <v>69507971864.880005</v>
      </c>
      <c r="K17" s="1893">
        <v>119949915484.78999</v>
      </c>
      <c r="L17" s="1893">
        <v>19354551.170000002</v>
      </c>
      <c r="M17" s="1885">
        <f t="shared" si="1"/>
        <v>189477241900.84</v>
      </c>
      <c r="N17" s="1886">
        <v>189477241900.84</v>
      </c>
      <c r="O17" s="1886">
        <f t="shared" si="2"/>
        <v>0</v>
      </c>
    </row>
    <row r="18" spans="1:21">
      <c r="H18" s="517">
        <f t="shared" si="0"/>
        <v>-26579152758.75</v>
      </c>
      <c r="I18" s="1892">
        <v>2024</v>
      </c>
      <c r="J18" s="1893">
        <v>75792423848.719986</v>
      </c>
      <c r="K18" s="1893">
        <v>135778582924.50003</v>
      </c>
      <c r="L18" s="1893">
        <v>47570958.620000005</v>
      </c>
      <c r="M18" s="1885">
        <f t="shared" si="1"/>
        <v>211618577731.84003</v>
      </c>
      <c r="N18" s="1886">
        <v>211618577731.84003</v>
      </c>
      <c r="O18" s="1886">
        <f t="shared" si="2"/>
        <v>0</v>
      </c>
    </row>
    <row r="19" spans="1:21" ht="33.75" customHeight="1">
      <c r="I19" s="1882"/>
      <c r="J19" s="1882"/>
      <c r="K19" s="1882"/>
      <c r="L19" s="1882"/>
      <c r="M19" s="1882"/>
      <c r="N19" s="1882"/>
      <c r="O19" s="1882"/>
    </row>
    <row r="20" spans="1:21" ht="36" customHeight="1">
      <c r="I20" s="1882"/>
      <c r="J20" s="1882"/>
      <c r="K20" s="1882"/>
      <c r="L20" s="1882"/>
      <c r="M20" s="1882"/>
      <c r="N20" s="1882"/>
      <c r="O20" s="1882"/>
    </row>
    <row r="21" spans="1:21" ht="36" customHeight="1">
      <c r="I21" s="1882"/>
      <c r="J21" s="1882"/>
      <c r="K21" s="1882"/>
      <c r="L21" s="1882"/>
      <c r="M21" s="1882"/>
      <c r="N21" s="1882"/>
      <c r="O21" s="1882"/>
      <c r="P21" s="518"/>
      <c r="Q21" s="518"/>
      <c r="R21" s="518"/>
      <c r="S21" s="518"/>
      <c r="T21" s="518"/>
      <c r="U21" s="518"/>
    </row>
    <row r="22" spans="1:21" ht="36" customHeight="1">
      <c r="I22" s="1882"/>
      <c r="J22" s="1882"/>
      <c r="K22" s="1882"/>
      <c r="L22" s="1882"/>
      <c r="M22" s="1882"/>
      <c r="N22" s="1882"/>
      <c r="O22" s="1882"/>
      <c r="P22" s="518"/>
      <c r="Q22" s="518"/>
      <c r="R22" s="518"/>
      <c r="S22" s="518"/>
      <c r="T22" s="518"/>
      <c r="U22" s="518"/>
    </row>
    <row r="23" spans="1:21" ht="36" customHeight="1">
      <c r="I23" s="1882"/>
      <c r="J23" s="1882"/>
      <c r="K23" s="1882"/>
      <c r="L23" s="1882"/>
      <c r="M23" s="1882"/>
      <c r="N23" s="1882"/>
      <c r="O23" s="1882"/>
      <c r="P23" s="518"/>
      <c r="Q23" s="518"/>
      <c r="R23" s="518"/>
      <c r="S23" s="518"/>
      <c r="T23" s="518"/>
      <c r="U23" s="518"/>
    </row>
    <row r="24" spans="1:21">
      <c r="I24" s="1882">
        <v>2019</v>
      </c>
      <c r="J24" s="1881">
        <v>46474324202.029999</v>
      </c>
      <c r="K24" s="1881">
        <v>76436493567.029984</v>
      </c>
      <c r="L24" s="1882"/>
      <c r="M24" s="1882"/>
      <c r="N24" s="1882"/>
      <c r="O24" s="1882"/>
      <c r="P24" s="518"/>
      <c r="Q24" s="518"/>
      <c r="R24" s="518"/>
      <c r="S24" s="518"/>
      <c r="T24" s="518"/>
      <c r="U24" s="518"/>
    </row>
    <row r="25" spans="1:21">
      <c r="I25" s="1882"/>
      <c r="J25" s="1886">
        <f>+J24-J13</f>
        <v>0</v>
      </c>
      <c r="K25" s="1886">
        <f>+K24-K13</f>
        <v>0</v>
      </c>
      <c r="L25" s="1882"/>
      <c r="M25" s="1882"/>
      <c r="N25" s="1882"/>
      <c r="O25" s="1882"/>
    </row>
    <row r="26" spans="1:21">
      <c r="I26" s="1882"/>
      <c r="J26" s="1882"/>
      <c r="K26" s="1882"/>
      <c r="L26" s="1882"/>
      <c r="M26" s="1882"/>
      <c r="N26" s="1882"/>
      <c r="O26" s="1882"/>
    </row>
    <row r="27" spans="1:21">
      <c r="I27" s="1882"/>
      <c r="J27" s="1882"/>
      <c r="K27" s="1882"/>
      <c r="L27" s="1882"/>
      <c r="M27" s="1882"/>
      <c r="N27" s="1882"/>
      <c r="O27" s="1882"/>
    </row>
    <row r="28" spans="1:21">
      <c r="I28" s="1882">
        <v>2021</v>
      </c>
      <c r="J28" s="1881">
        <v>53978644084.049988</v>
      </c>
      <c r="K28" s="1881">
        <v>85663651015.01001</v>
      </c>
      <c r="L28" s="1881">
        <v>233614.27</v>
      </c>
      <c r="M28" s="1882"/>
      <c r="N28" s="1882"/>
      <c r="O28" s="1882"/>
    </row>
    <row r="29" spans="1:21">
      <c r="I29" s="1882"/>
      <c r="J29" s="1886">
        <f>+J28-J15</f>
        <v>0</v>
      </c>
      <c r="K29" s="1886">
        <f>+K28-K15</f>
        <v>0</v>
      </c>
      <c r="L29" s="1886">
        <f>+L28-L15</f>
        <v>0</v>
      </c>
      <c r="M29" s="1882"/>
      <c r="N29" s="1882"/>
      <c r="O29" s="1894"/>
    </row>
    <row r="30" spans="1:21">
      <c r="I30" s="1882"/>
      <c r="J30" s="1882"/>
      <c r="K30" s="1882"/>
      <c r="L30" s="1882"/>
      <c r="M30" s="1882"/>
      <c r="N30" s="1882"/>
      <c r="O30" s="1894"/>
    </row>
    <row r="31" spans="1:21">
      <c r="I31" s="1882"/>
      <c r="J31" s="1882"/>
      <c r="K31" s="1882"/>
      <c r="L31" s="1881"/>
      <c r="M31" s="1882"/>
      <c r="N31" s="1882"/>
      <c r="O31" s="1894"/>
    </row>
    <row r="32" spans="1:21">
      <c r="I32" s="1882">
        <v>2022</v>
      </c>
      <c r="J32" s="1881">
        <v>64772307526.060005</v>
      </c>
      <c r="K32" s="1881">
        <v>103754040948.02998</v>
      </c>
      <c r="L32" s="1881">
        <v>7225756.8099999996</v>
      </c>
      <c r="M32" s="1882"/>
      <c r="N32" s="1882"/>
      <c r="O32" s="1894"/>
    </row>
    <row r="33" spans="9:15">
      <c r="I33" s="1882"/>
      <c r="J33" s="1886">
        <f>+J32-J16</f>
        <v>0</v>
      </c>
      <c r="K33" s="1886">
        <f>+K32-K16</f>
        <v>0</v>
      </c>
      <c r="L33" s="1886">
        <f>+L32-L16</f>
        <v>0</v>
      </c>
      <c r="M33" s="1882"/>
      <c r="N33" s="1882"/>
      <c r="O33" s="1894"/>
    </row>
    <row r="34" spans="9:15">
      <c r="I34" s="1882"/>
      <c r="J34" s="1882"/>
      <c r="K34" s="1882"/>
      <c r="L34" s="1882"/>
      <c r="M34" s="1882"/>
      <c r="N34" s="1882"/>
      <c r="O34" s="1894"/>
    </row>
    <row r="35" spans="9:15">
      <c r="I35" s="1882"/>
      <c r="J35" s="1882"/>
      <c r="K35" s="1882"/>
      <c r="L35" s="1882"/>
      <c r="M35" s="1882"/>
      <c r="N35" s="1882"/>
      <c r="O35" s="1894"/>
    </row>
    <row r="36" spans="9:15">
      <c r="I36" s="1882"/>
      <c r="J36" s="1882"/>
      <c r="K36" s="1882"/>
      <c r="L36" s="1882"/>
      <c r="M36" s="1882"/>
      <c r="N36" s="1882"/>
      <c r="O36" s="1882"/>
    </row>
    <row r="37" spans="9:15">
      <c r="I37" s="1882"/>
      <c r="J37" s="1882"/>
      <c r="K37" s="1882"/>
      <c r="L37" s="1882"/>
      <c r="M37" s="1882"/>
      <c r="N37" s="1882"/>
      <c r="O37" s="1882"/>
    </row>
    <row r="38" spans="9:15">
      <c r="I38" s="1882"/>
      <c r="J38" s="1882"/>
      <c r="K38" s="1882"/>
      <c r="L38" s="1882"/>
      <c r="M38" s="1882"/>
      <c r="N38" s="1882"/>
      <c r="O38" s="1882"/>
    </row>
    <row r="39" spans="9:15">
      <c r="I39" s="1882"/>
      <c r="J39" s="1882"/>
      <c r="K39" s="1881">
        <v>9438428593.3700008</v>
      </c>
      <c r="L39" s="1882"/>
      <c r="M39" s="1882"/>
      <c r="N39" s="1882"/>
      <c r="O39" s="1882"/>
    </row>
    <row r="40" spans="9:15">
      <c r="I40" s="1882"/>
      <c r="J40" s="1882"/>
      <c r="K40" s="1881">
        <v>5686534461.2699995</v>
      </c>
      <c r="L40" s="1882"/>
      <c r="M40" s="1882"/>
      <c r="N40" s="1882"/>
      <c r="O40" s="1882"/>
    </row>
    <row r="41" spans="9:15">
      <c r="I41" s="1882"/>
      <c r="J41" s="1882"/>
      <c r="K41" s="1886">
        <f>+K39+K40</f>
        <v>15124963054.639999</v>
      </c>
      <c r="L41" s="1882"/>
      <c r="M41" s="1882"/>
      <c r="N41" s="1882"/>
      <c r="O41" s="1882"/>
    </row>
    <row r="42" spans="9:15">
      <c r="I42" s="1882"/>
      <c r="J42" s="1882"/>
      <c r="K42" s="1886" t="e">
        <f>+#REF!-K41</f>
        <v>#REF!</v>
      </c>
      <c r="L42" s="1882"/>
      <c r="M42" s="1882"/>
      <c r="N42" s="1882"/>
      <c r="O42" s="1882"/>
    </row>
    <row r="43" spans="9:15">
      <c r="I43" s="1878"/>
      <c r="J43" s="1878"/>
      <c r="K43" s="1878"/>
      <c r="L43" s="1878"/>
      <c r="M43" s="1878"/>
      <c r="N43" s="1878"/>
      <c r="O43" s="1878"/>
    </row>
    <row r="44" spans="9:15">
      <c r="I44" s="1878"/>
      <c r="J44" s="1878"/>
      <c r="K44" s="1878"/>
      <c r="L44" s="1878"/>
      <c r="M44" s="1878"/>
      <c r="N44" s="1878"/>
      <c r="O44" s="1878"/>
    </row>
    <row r="45" spans="9:15">
      <c r="I45" s="1878"/>
      <c r="J45" s="1878"/>
      <c r="K45" s="1878"/>
      <c r="L45" s="1878"/>
      <c r="M45" s="1878"/>
      <c r="N45" s="1878"/>
      <c r="O45" s="1878"/>
    </row>
    <row r="46" spans="9:15">
      <c r="I46" s="1878"/>
      <c r="J46" s="1878"/>
      <c r="K46" s="1878"/>
      <c r="L46" s="1878"/>
      <c r="M46" s="1878"/>
      <c r="N46" s="1878"/>
      <c r="O46" s="1878"/>
    </row>
    <row r="47" spans="9:15" ht="41.25" customHeight="1">
      <c r="I47" s="1878"/>
      <c r="J47" s="1878"/>
      <c r="K47" s="1878"/>
      <c r="L47" s="1878"/>
      <c r="M47" s="1878"/>
      <c r="N47" s="1878"/>
      <c r="O47" s="1878"/>
    </row>
    <row r="48" spans="9:15">
      <c r="I48" s="1878"/>
      <c r="J48" s="1878"/>
      <c r="K48" s="1878"/>
      <c r="L48" s="1878"/>
      <c r="M48" s="1878"/>
      <c r="N48" s="1878"/>
      <c r="O48" s="1878"/>
    </row>
    <row r="49" spans="9:15">
      <c r="I49" s="1878"/>
      <c r="J49" s="1878"/>
      <c r="K49" s="1878"/>
      <c r="L49" s="1878"/>
      <c r="M49" s="1878"/>
      <c r="N49" s="1878"/>
      <c r="O49" s="1878"/>
    </row>
    <row r="50" spans="9:15">
      <c r="I50" s="1878"/>
      <c r="J50" s="1878"/>
      <c r="K50" s="1878"/>
      <c r="L50" s="1878"/>
      <c r="M50" s="1878"/>
      <c r="N50" s="1878"/>
      <c r="O50" s="1878"/>
    </row>
    <row r="51" spans="9:15">
      <c r="I51" s="1878"/>
      <c r="J51" s="1878"/>
      <c r="K51" s="1878"/>
      <c r="L51" s="1878"/>
      <c r="M51" s="1878"/>
      <c r="N51" s="1878"/>
      <c r="O51" s="1878"/>
    </row>
    <row r="52" spans="9:15">
      <c r="I52" s="1878"/>
      <c r="J52" s="1878"/>
      <c r="K52" s="1878"/>
      <c r="L52" s="1878"/>
      <c r="M52" s="1878"/>
      <c r="N52" s="1878"/>
      <c r="O52" s="1878"/>
    </row>
    <row r="53" spans="9:15">
      <c r="I53" s="1878"/>
      <c r="J53" s="1878"/>
      <c r="K53" s="1878"/>
      <c r="L53" s="1878"/>
      <c r="M53" s="1878"/>
      <c r="N53" s="1878"/>
      <c r="O53" s="1878"/>
    </row>
    <row r="54" spans="9:15">
      <c r="I54" s="1878"/>
      <c r="J54" s="1878"/>
      <c r="K54" s="1878"/>
      <c r="L54" s="1878"/>
      <c r="M54" s="1878"/>
      <c r="N54" s="1878"/>
      <c r="O54" s="1878"/>
    </row>
    <row r="55" spans="9:15">
      <c r="I55" s="1878"/>
      <c r="J55" s="1878"/>
      <c r="K55" s="1878"/>
      <c r="L55" s="1878"/>
      <c r="M55" s="1878"/>
      <c r="N55" s="1878"/>
      <c r="O55" s="1878"/>
    </row>
    <row r="56" spans="9:15">
      <c r="I56" s="1878"/>
      <c r="J56" s="1878"/>
      <c r="K56" s="1878"/>
      <c r="L56" s="1878"/>
      <c r="M56" s="1878"/>
      <c r="N56" s="1878"/>
      <c r="O56" s="1878"/>
    </row>
    <row r="57" spans="9:15">
      <c r="I57" s="1878"/>
      <c r="J57" s="1878"/>
      <c r="K57" s="1878"/>
      <c r="L57" s="1878"/>
      <c r="M57" s="1878"/>
      <c r="N57" s="1878"/>
      <c r="O57" s="1878"/>
    </row>
    <row r="58" spans="9:15">
      <c r="I58" s="1878"/>
      <c r="J58" s="1878"/>
      <c r="K58" s="1878"/>
      <c r="L58" s="1878"/>
      <c r="M58" s="1878"/>
      <c r="N58" s="1878"/>
      <c r="O58" s="1878"/>
    </row>
    <row r="59" spans="9:15">
      <c r="I59" s="1878"/>
      <c r="J59" s="1878"/>
      <c r="K59" s="1878"/>
      <c r="L59" s="1878"/>
      <c r="M59" s="1878"/>
      <c r="N59" s="1878"/>
      <c r="O59" s="1878"/>
    </row>
    <row r="60" spans="9:15">
      <c r="I60" s="1878"/>
      <c r="J60" s="1878"/>
      <c r="K60" s="1878"/>
      <c r="L60" s="1878"/>
      <c r="M60" s="1878"/>
      <c r="N60" s="1878"/>
      <c r="O60" s="1878"/>
    </row>
    <row r="61" spans="9:15">
      <c r="I61" s="1878"/>
      <c r="J61" s="1878"/>
      <c r="K61" s="1878"/>
      <c r="L61" s="1878"/>
      <c r="M61" s="1878"/>
      <c r="N61" s="1878"/>
      <c r="O61" s="1878"/>
    </row>
    <row r="62" spans="9:15">
      <c r="I62" s="1878"/>
      <c r="J62" s="1878"/>
      <c r="K62" s="1878"/>
      <c r="L62" s="1878"/>
      <c r="M62" s="1878"/>
      <c r="N62" s="1878"/>
      <c r="O62" s="1878"/>
    </row>
    <row r="63" spans="9:15">
      <c r="I63" s="1878"/>
      <c r="J63" s="1878"/>
      <c r="K63" s="1878"/>
      <c r="L63" s="1878"/>
      <c r="M63" s="1878"/>
      <c r="N63" s="1878"/>
      <c r="O63" s="1878"/>
    </row>
    <row r="64" spans="9:15">
      <c r="I64" s="1878"/>
      <c r="J64" s="1878"/>
      <c r="K64" s="1878"/>
      <c r="L64" s="1878"/>
      <c r="M64" s="1878"/>
      <c r="N64" s="1878"/>
      <c r="O64" s="1878"/>
    </row>
    <row r="65" spans="9:15">
      <c r="I65" s="1878"/>
      <c r="J65" s="1878"/>
      <c r="K65" s="1878"/>
      <c r="L65" s="1878"/>
      <c r="M65" s="1878"/>
      <c r="N65" s="1878"/>
      <c r="O65" s="1878"/>
    </row>
    <row r="66" spans="9:15">
      <c r="I66" s="1878"/>
      <c r="J66" s="1878"/>
      <c r="K66" s="1878"/>
      <c r="L66" s="1878"/>
      <c r="M66" s="1878"/>
      <c r="N66" s="1878"/>
      <c r="O66" s="1878"/>
    </row>
    <row r="67" spans="9:15">
      <c r="I67" s="1878"/>
      <c r="J67" s="1878"/>
      <c r="K67" s="1878"/>
      <c r="L67" s="1878"/>
      <c r="M67" s="1878"/>
      <c r="N67" s="1878"/>
      <c r="O67" s="1878"/>
    </row>
    <row r="68" spans="9:15">
      <c r="I68" s="1878"/>
      <c r="J68" s="1878"/>
      <c r="K68" s="1878"/>
      <c r="L68" s="1878"/>
      <c r="M68" s="1878"/>
      <c r="N68" s="1878"/>
      <c r="O68" s="1878"/>
    </row>
    <row r="69" spans="9:15">
      <c r="I69" s="1878"/>
      <c r="J69" s="1878"/>
      <c r="K69" s="1878"/>
      <c r="L69" s="1878"/>
      <c r="M69" s="1878"/>
      <c r="N69" s="1878"/>
      <c r="O69" s="1878"/>
    </row>
    <row r="70" spans="9:15">
      <c r="I70" s="1878"/>
      <c r="J70" s="1878"/>
      <c r="K70" s="1878"/>
      <c r="L70" s="1878"/>
      <c r="M70" s="1878"/>
      <c r="N70" s="1878"/>
      <c r="O70" s="1878"/>
    </row>
    <row r="71" spans="9:15">
      <c r="I71" s="1878"/>
      <c r="J71" s="1878"/>
      <c r="K71" s="1878"/>
      <c r="L71" s="1878"/>
      <c r="M71" s="1878"/>
      <c r="N71" s="1878"/>
      <c r="O71" s="1878"/>
    </row>
    <row r="72" spans="9:15">
      <c r="I72" s="1878"/>
      <c r="J72" s="1878"/>
      <c r="K72" s="1878"/>
      <c r="L72" s="1878"/>
      <c r="M72" s="1878"/>
      <c r="N72" s="1878"/>
      <c r="O72" s="1878"/>
    </row>
    <row r="73" spans="9:15">
      <c r="I73" s="1878"/>
      <c r="J73" s="1878"/>
      <c r="K73" s="1878"/>
      <c r="L73" s="1878"/>
      <c r="M73" s="1878"/>
      <c r="N73" s="1878"/>
      <c r="O73" s="1878"/>
    </row>
    <row r="74" spans="9:15">
      <c r="I74" s="1878"/>
      <c r="J74" s="1878"/>
      <c r="K74" s="1878"/>
      <c r="L74" s="1878"/>
      <c r="M74" s="1878"/>
      <c r="N74" s="1878"/>
      <c r="O74" s="1878"/>
    </row>
  </sheetData>
  <mergeCells count="3">
    <mergeCell ref="A1:G1"/>
    <mergeCell ref="A2:G2"/>
    <mergeCell ref="I6:O6"/>
  </mergeCells>
  <conditionalFormatting sqref="A5:E14 A16:E16 A15 E15 B10:D15">
    <cfRule type="cellIs" dxfId="371" priority="3" operator="equal">
      <formula>0</formula>
    </cfRule>
  </conditionalFormatting>
  <conditionalFormatting sqref="B9:C14 B10:D15">
    <cfRule type="cellIs" dxfId="370" priority="4" operator="equal">
      <formula>0</formula>
    </cfRule>
  </conditionalFormatting>
  <conditionalFormatting sqref="I9:M18">
    <cfRule type="cellIs" dxfId="369" priority="1" operator="equal">
      <formula>0</formula>
    </cfRule>
  </conditionalFormatting>
  <conditionalFormatting sqref="J13:K18">
    <cfRule type="cellIs" dxfId="368" priority="2" operator="equal">
      <formula>0</formula>
    </cfRule>
  </conditionalFormatting>
  <pageMargins left="0.70866141732283472" right="0.70866141732283472" top="0.74803149606299213" bottom="0.74803149606299213" header="0.31496062992125984" footer="0.31496062992125984"/>
  <pageSetup scale="78" orientation="landscape" r:id="rId1"/>
  <rowBreaks count="1" manualBreakCount="1">
    <brk id="49" max="16383" man="1"/>
  </rowBreaks>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defaultColWidth="11.42578125" defaultRowHeight="15"/>
  <cols>
    <col min="1" max="1" width="26.7109375" style="71" customWidth="1"/>
    <col min="2" max="2" width="30.85546875" style="71" customWidth="1"/>
    <col min="3" max="3" width="30.7109375" style="71" customWidth="1"/>
    <col min="4" max="5" width="32" style="71" customWidth="1"/>
    <col min="6" max="6" width="26.7109375" style="71" customWidth="1"/>
    <col min="7" max="7" width="36" style="71" customWidth="1"/>
    <col min="8" max="8" width="11.42578125" style="71"/>
    <col min="9" max="9" width="23.7109375" style="71" customWidth="1"/>
    <col min="10" max="10" width="33.140625" style="71" customWidth="1"/>
    <col min="11" max="11" width="25.28515625" style="71" bestFit="1" customWidth="1"/>
    <col min="12" max="16384" width="11.42578125" style="71"/>
  </cols>
  <sheetData>
    <row r="1" spans="1:13" ht="34.5" customHeight="1">
      <c r="A1" s="2284" t="s">
        <v>981</v>
      </c>
      <c r="B1" s="2285"/>
      <c r="C1" s="2285"/>
      <c r="D1" s="2285"/>
      <c r="E1" s="2285"/>
      <c r="F1" s="2285"/>
      <c r="G1" s="2285"/>
      <c r="H1" s="2285"/>
      <c r="I1" s="2286"/>
    </row>
    <row r="2" spans="1:13" ht="42.75" customHeight="1">
      <c r="A2" s="2287" t="str">
        <f>+'Resumen '!O4</f>
        <v>Período:  Diciembre 2008 - Abril 2025</v>
      </c>
      <c r="B2" s="2288"/>
      <c r="C2" s="2288"/>
      <c r="D2" s="2288"/>
      <c r="E2" s="2288"/>
      <c r="F2" s="2288"/>
      <c r="G2" s="2288"/>
      <c r="H2" s="2288"/>
      <c r="I2" s="2289"/>
    </row>
    <row r="3" spans="1:13" ht="12.75" customHeight="1">
      <c r="A3" s="124"/>
      <c r="B3" s="135"/>
      <c r="C3" s="135"/>
      <c r="D3" s="135"/>
      <c r="E3" s="135"/>
      <c r="F3" s="135"/>
      <c r="G3" s="135"/>
    </row>
    <row r="4" spans="1:13" ht="67.5" customHeight="1">
      <c r="A4" s="1053" t="s">
        <v>262</v>
      </c>
      <c r="B4" s="1053" t="s">
        <v>982</v>
      </c>
      <c r="C4" s="1053" t="s">
        <v>983</v>
      </c>
      <c r="D4" s="1053" t="s">
        <v>984</v>
      </c>
      <c r="E4" s="1053" t="s">
        <v>985</v>
      </c>
      <c r="F4" s="1053" t="s">
        <v>977</v>
      </c>
      <c r="G4" s="1053" t="s">
        <v>986</v>
      </c>
    </row>
    <row r="5" spans="1:13" ht="19.5">
      <c r="A5" s="1054">
        <v>2008</v>
      </c>
      <c r="B5" s="1055">
        <v>2875916564.5526996</v>
      </c>
      <c r="C5" s="1055">
        <v>6551360475.0592489</v>
      </c>
      <c r="D5" s="1055">
        <v>7215018749.6672993</v>
      </c>
      <c r="E5" s="1055">
        <v>16435869261.990749</v>
      </c>
      <c r="F5" s="1055" t="e">
        <f>+'IV.1.4. Recaudo x sector'!#REF!</f>
        <v>#REF!</v>
      </c>
      <c r="G5" s="1056" t="e">
        <f>SUM(B5:F5)</f>
        <v>#REF!</v>
      </c>
      <c r="H5" s="72"/>
      <c r="I5" s="161"/>
      <c r="J5" s="117"/>
      <c r="K5" s="113"/>
    </row>
    <row r="6" spans="1:13" ht="19.5">
      <c r="A6" s="1054">
        <v>2009</v>
      </c>
      <c r="B6" s="1055">
        <v>3539537183.8177495</v>
      </c>
      <c r="C6" s="1055">
        <v>7254202449.8704491</v>
      </c>
      <c r="D6" s="1055">
        <v>8879891531.3322487</v>
      </c>
      <c r="E6" s="1055">
        <v>18199139479.49955</v>
      </c>
      <c r="F6" s="1055" t="e">
        <f>+'IV.1.4. Recaudo x sector'!#REF!</f>
        <v>#REF!</v>
      </c>
      <c r="G6" s="1056" t="e">
        <f t="shared" ref="G6:G21" si="0">SUM(B6:F6)</f>
        <v>#REF!</v>
      </c>
      <c r="H6" s="72"/>
      <c r="I6" s="161"/>
      <c r="J6" s="114"/>
      <c r="K6" s="41"/>
    </row>
    <row r="7" spans="1:13" ht="19.5">
      <c r="A7" s="1054">
        <v>2010</v>
      </c>
      <c r="B7" s="1055">
        <v>3985135886.0018997</v>
      </c>
      <c r="C7" s="1055">
        <v>8442290850.7881002</v>
      </c>
      <c r="D7" s="1055">
        <v>9997797047.3381004</v>
      </c>
      <c r="E7" s="1055">
        <v>21179782309.871902</v>
      </c>
      <c r="F7" s="1055" t="e">
        <f>+'IV.1.4. Recaudo x sector'!#REF!</f>
        <v>#REF!</v>
      </c>
      <c r="G7" s="1056" t="e">
        <f t="shared" si="0"/>
        <v>#REF!</v>
      </c>
      <c r="H7" s="72"/>
      <c r="I7" s="161"/>
      <c r="J7" s="72"/>
      <c r="L7" s="73"/>
    </row>
    <row r="8" spans="1:13" ht="19.5">
      <c r="A8" s="1054">
        <v>2011</v>
      </c>
      <c r="B8" s="1057">
        <v>4455073541.0128489</v>
      </c>
      <c r="C8" s="1057">
        <v>9628453631.5015488</v>
      </c>
      <c r="D8" s="1057">
        <v>11176763444.997149</v>
      </c>
      <c r="E8" s="1057">
        <v>24155594198.328449</v>
      </c>
      <c r="F8" s="1055" t="e">
        <f>+'IV.1.4. Recaudo x sector'!#REF!</f>
        <v>#REF!</v>
      </c>
      <c r="G8" s="1056" t="e">
        <f t="shared" si="0"/>
        <v>#REF!</v>
      </c>
      <c r="H8" s="72"/>
      <c r="I8" s="161"/>
      <c r="J8" s="73"/>
      <c r="L8" s="73"/>
    </row>
    <row r="9" spans="1:13" ht="19.5">
      <c r="A9" s="1054">
        <v>2012</v>
      </c>
      <c r="B9" s="1057">
        <v>5014781523.3548641</v>
      </c>
      <c r="C9" s="1057">
        <v>10678895184.422285</v>
      </c>
      <c r="D9" s="1057">
        <v>12580943119.995537</v>
      </c>
      <c r="E9" s="1057">
        <v>26790912480.217316</v>
      </c>
      <c r="F9" s="1055" t="e">
        <f>+'IV.1.4. Recaudo x sector'!#REF!</f>
        <v>#REF!</v>
      </c>
      <c r="G9" s="1056" t="e">
        <f t="shared" si="0"/>
        <v>#REF!</v>
      </c>
      <c r="H9" s="72"/>
      <c r="I9" s="161"/>
      <c r="J9" s="73"/>
      <c r="K9" s="73"/>
    </row>
    <row r="10" spans="1:13" ht="19.5">
      <c r="A10" s="1054">
        <v>2013</v>
      </c>
      <c r="B10" s="1057">
        <v>5948887373.8236008</v>
      </c>
      <c r="C10" s="1057">
        <v>11573768651.720398</v>
      </c>
      <c r="D10" s="1057">
        <v>14924401657.136402</v>
      </c>
      <c r="E10" s="1057">
        <v>29035945915.719597</v>
      </c>
      <c r="F10" s="1055" t="e">
        <f>+'IV.1.4. Recaudo x sector'!#REF!</f>
        <v>#REF!</v>
      </c>
      <c r="G10" s="1056" t="e">
        <f t="shared" si="0"/>
        <v>#REF!</v>
      </c>
      <c r="H10" s="72"/>
      <c r="I10" s="161"/>
      <c r="J10" s="73"/>
    </row>
    <row r="11" spans="1:13" ht="19.5">
      <c r="A11" s="1054">
        <v>2014</v>
      </c>
      <c r="B11" s="1057">
        <v>7027415919.9548988</v>
      </c>
      <c r="C11" s="1057">
        <v>12900038560.688999</v>
      </c>
      <c r="D11" s="1057">
        <v>17630183799.185101</v>
      </c>
      <c r="E11" s="1057">
        <v>32363254634.710999</v>
      </c>
      <c r="F11" s="1055" t="e">
        <f>+'IV.1.4. Recaudo x sector'!#REF!</f>
        <v>#REF!</v>
      </c>
      <c r="G11" s="1056" t="e">
        <f t="shared" si="0"/>
        <v>#REF!</v>
      </c>
      <c r="H11" s="72"/>
      <c r="I11" s="161"/>
      <c r="J11" s="73"/>
    </row>
    <row r="12" spans="1:13" ht="19.5">
      <c r="A12" s="1054">
        <v>2015</v>
      </c>
      <c r="B12" s="1057">
        <v>8336506624.0861492</v>
      </c>
      <c r="C12" s="1057">
        <v>14193419409.972895</v>
      </c>
      <c r="D12" s="1057">
        <v>20914393811.303848</v>
      </c>
      <c r="E12" s="1057">
        <v>35608052203.967087</v>
      </c>
      <c r="F12" s="1055">
        <f>+'IV.1.4. Recaudo x sector'!D5</f>
        <v>0</v>
      </c>
      <c r="G12" s="1056">
        <f t="shared" si="0"/>
        <v>79052372049.329987</v>
      </c>
      <c r="H12" s="72"/>
      <c r="I12" s="161"/>
      <c r="J12" s="73"/>
    </row>
    <row r="13" spans="1:13" ht="19.5">
      <c r="A13" s="1054">
        <v>2016</v>
      </c>
      <c r="B13" s="1057">
        <v>9461406853.0067997</v>
      </c>
      <c r="C13" s="1057">
        <v>15917604950.106447</v>
      </c>
      <c r="D13" s="1057">
        <v>23736511929.473202</v>
      </c>
      <c r="E13" s="1057">
        <v>39933640488.863541</v>
      </c>
      <c r="F13" s="1055">
        <f>+'IV.1.4. Recaudo x sector'!D6</f>
        <v>0</v>
      </c>
      <c r="G13" s="1056">
        <f t="shared" si="0"/>
        <v>89049164221.449982</v>
      </c>
      <c r="H13" s="72"/>
      <c r="I13" s="161"/>
      <c r="J13" s="77"/>
      <c r="K13" s="77"/>
      <c r="L13" s="77"/>
      <c r="M13" s="77"/>
    </row>
    <row r="14" spans="1:13" ht="19.5">
      <c r="A14" s="1054">
        <v>2017</v>
      </c>
      <c r="B14" s="1057">
        <v>10705552247.853899</v>
      </c>
      <c r="C14" s="1057">
        <v>17696906887.662746</v>
      </c>
      <c r="D14" s="1057">
        <v>26857788972.6861</v>
      </c>
      <c r="E14" s="1057">
        <v>44397503244.487244</v>
      </c>
      <c r="F14" s="1055">
        <f>+'IV.1.4. Recaudo x sector'!D7</f>
        <v>0</v>
      </c>
      <c r="G14" s="1056">
        <f t="shared" si="0"/>
        <v>99657751352.689987</v>
      </c>
      <c r="H14" s="72"/>
      <c r="I14" s="161"/>
    </row>
    <row r="15" spans="1:13" ht="19.5">
      <c r="A15" s="1054">
        <v>2018</v>
      </c>
      <c r="B15" s="1057">
        <v>12192125456.814447</v>
      </c>
      <c r="C15" s="1057">
        <v>19971267217.198051</v>
      </c>
      <c r="D15" s="1057">
        <v>30587262110.955547</v>
      </c>
      <c r="E15" s="1057">
        <v>50103354597.531952</v>
      </c>
      <c r="F15" s="1055">
        <f>+'IV.1.4. Recaudo x sector'!D8</f>
        <v>0</v>
      </c>
      <c r="G15" s="1056">
        <f t="shared" si="0"/>
        <v>112854009382.5</v>
      </c>
      <c r="H15" s="133"/>
      <c r="I15" s="161"/>
    </row>
    <row r="16" spans="1:13" ht="19.5">
      <c r="A16" s="1054">
        <v>2019</v>
      </c>
      <c r="B16" s="1057">
        <v>13261006424.580149</v>
      </c>
      <c r="C16" s="1057">
        <v>21768578525.677795</v>
      </c>
      <c r="D16" s="1057">
        <v>33268840679.20985</v>
      </c>
      <c r="E16" s="1057">
        <v>54612398757.402191</v>
      </c>
      <c r="F16" s="1055">
        <f>+'IV.1.4. Recaudo x sector'!D9</f>
        <v>0</v>
      </c>
      <c r="G16" s="1056">
        <f t="shared" si="0"/>
        <v>122910824386.86998</v>
      </c>
      <c r="H16" s="72"/>
      <c r="I16" s="161"/>
    </row>
    <row r="17" spans="1:11" ht="19.5">
      <c r="A17" s="1054">
        <v>2020</v>
      </c>
      <c r="B17" s="1057">
        <v>14675993754.4743</v>
      </c>
      <c r="C17" s="1057">
        <v>19922433556.696049</v>
      </c>
      <c r="D17" s="1057">
        <v>36818721173.505692</v>
      </c>
      <c r="E17" s="1057">
        <v>49980842080.833946</v>
      </c>
      <c r="F17" s="1055">
        <f>+'IV.1.4. Recaudo x sector'!D10</f>
        <v>0</v>
      </c>
      <c r="G17" s="1056">
        <f t="shared" si="0"/>
        <v>121397990565.50998</v>
      </c>
      <c r="H17" s="72"/>
      <c r="I17" s="161"/>
    </row>
    <row r="18" spans="1:11" ht="19.5">
      <c r="A18" s="1054">
        <v>2021</v>
      </c>
      <c r="B18" s="1055">
        <v>15383913563.95425</v>
      </c>
      <c r="C18" s="1055">
        <v>24414140539.277851</v>
      </c>
      <c r="D18" s="1055">
        <v>38594730520.095749</v>
      </c>
      <c r="E18" s="1055">
        <v>61249510475.732155</v>
      </c>
      <c r="F18" s="1055">
        <f>+'IV.1.4. Recaudo x sector'!D11</f>
        <v>233614.27</v>
      </c>
      <c r="G18" s="1056">
        <f>SUM(B18:F18)</f>
        <v>139642528713.32999</v>
      </c>
      <c r="H18" s="72"/>
      <c r="I18" s="161"/>
    </row>
    <row r="19" spans="1:11" ht="19.5">
      <c r="A19" s="1058">
        <v>2022</v>
      </c>
      <c r="B19" s="1057">
        <v>17603736357.49485</v>
      </c>
      <c r="C19" s="1057">
        <v>26115658487.048393</v>
      </c>
      <c r="D19" s="1057">
        <v>44163759633.715157</v>
      </c>
      <c r="E19" s="1057">
        <v>65518230941.191589</v>
      </c>
      <c r="F19" s="1057">
        <v>7225756.8099999996</v>
      </c>
      <c r="G19" s="1446">
        <f t="shared" si="0"/>
        <v>153408611176.25998</v>
      </c>
      <c r="H19" s="72"/>
      <c r="I19" s="161"/>
    </row>
    <row r="20" spans="1:11" ht="19.5">
      <c r="A20" s="1058">
        <v>2023</v>
      </c>
      <c r="B20" s="1057">
        <v>19809771981.490799</v>
      </c>
      <c r="C20" s="1057">
        <v>34185725913.165146</v>
      </c>
      <c r="D20" s="1057">
        <v>49698199883.389198</v>
      </c>
      <c r="E20" s="1057">
        <v>85764189571.624847</v>
      </c>
      <c r="F20" s="1057">
        <v>19354551.170000002</v>
      </c>
      <c r="G20" s="1446">
        <f t="shared" si="0"/>
        <v>189477241900.84</v>
      </c>
      <c r="H20" s="72"/>
      <c r="I20" s="161"/>
    </row>
    <row r="21" spans="1:11" ht="19.5">
      <c r="A21" s="1058" t="str">
        <f>+'IV.1.4. Recaudo x sector'!A15</f>
        <v>Abr.2025</v>
      </c>
      <c r="B21" s="1057">
        <v>21600840796.885193</v>
      </c>
      <c r="C21" s="1057">
        <v>38696896133.482506</v>
      </c>
      <c r="D21" s="1057">
        <v>54191583051.834801</v>
      </c>
      <c r="E21" s="1057">
        <v>97081686791.017517</v>
      </c>
      <c r="F21" s="1057">
        <v>47570958.620000005</v>
      </c>
      <c r="G21" s="1446">
        <f t="shared" si="0"/>
        <v>211618577731.84003</v>
      </c>
      <c r="H21" s="72"/>
      <c r="I21" s="161"/>
      <c r="J21" s="72">
        <f>+Tabla27[[#This Row],[Total Recaudo]]-'IV.1.4. Recaudo x sector'!E15</f>
        <v>138157670025.13004</v>
      </c>
    </row>
    <row r="22" spans="1:11" ht="19.5">
      <c r="A22" s="1054" t="s">
        <v>699</v>
      </c>
      <c r="B22" s="1056">
        <f>SUM(B5:B21)</f>
        <v>175877602053.15942</v>
      </c>
      <c r="C22" s="1056">
        <f t="shared" ref="C22:G22" si="1">SUM(C5:C21)</f>
        <v>299911641424.33893</v>
      </c>
      <c r="D22" s="1056">
        <f t="shared" si="1"/>
        <v>441236791115.82098</v>
      </c>
      <c r="E22" s="1056">
        <f t="shared" si="1"/>
        <v>752409907432.99072</v>
      </c>
      <c r="F22" s="1056" t="e">
        <f t="shared" si="1"/>
        <v>#REF!</v>
      </c>
      <c r="G22" s="1056" t="e">
        <f t="shared" si="1"/>
        <v>#REF!</v>
      </c>
      <c r="J22" s="97"/>
    </row>
    <row r="23" spans="1:11" ht="19.5">
      <c r="A23" s="1040" t="s">
        <v>186</v>
      </c>
      <c r="B23" s="1038"/>
      <c r="C23" s="1038"/>
      <c r="D23" s="1038"/>
      <c r="E23" s="1038"/>
      <c r="F23" s="1038"/>
      <c r="G23" s="1039"/>
      <c r="J23" s="97"/>
      <c r="K23" s="72"/>
    </row>
    <row r="24" spans="1:11">
      <c r="J24" s="94"/>
      <c r="K24" s="72"/>
    </row>
    <row r="25" spans="1:11" ht="36.75" customHeight="1">
      <c r="C25" s="83"/>
      <c r="E25" s="83"/>
      <c r="F25" s="83"/>
      <c r="J25" s="72"/>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57"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4">
    <tabColor rgb="FF00B0F0"/>
    <pageSetUpPr fitToPage="1"/>
  </sheetPr>
  <dimension ref="A1:T50"/>
  <sheetViews>
    <sheetView showGridLines="0" view="pageBreakPreview" zoomScale="55" zoomScaleNormal="100" zoomScaleSheetLayoutView="55" workbookViewId="0">
      <selection activeCell="N46" sqref="N46"/>
    </sheetView>
  </sheetViews>
  <sheetFormatPr defaultColWidth="11.42578125" defaultRowHeight="18"/>
  <cols>
    <col min="1" max="1" width="17" style="307" customWidth="1"/>
    <col min="2" max="2" width="16.7109375" style="307" customWidth="1"/>
    <col min="3" max="3" width="16.140625" style="307" customWidth="1"/>
    <col min="4" max="5" width="17.42578125" style="307" bestFit="1" customWidth="1"/>
    <col min="6" max="6" width="20.42578125" style="307" customWidth="1"/>
    <col min="7" max="7" width="37.85546875" style="307" customWidth="1"/>
    <col min="8" max="8" width="40" style="307" customWidth="1"/>
    <col min="9" max="9" width="15" style="307" customWidth="1"/>
    <col min="10" max="10" width="30.42578125" style="307" customWidth="1"/>
    <col min="11" max="11" width="43.85546875" style="307" customWidth="1"/>
    <col min="12" max="12" width="20.42578125" style="307" customWidth="1"/>
    <col min="13" max="13" width="11.28515625" style="483" customWidth="1"/>
    <col min="14" max="14" width="44.28515625" style="484" customWidth="1"/>
    <col min="15" max="15" width="38.5703125" style="484" customWidth="1"/>
    <col min="16" max="16" width="19.28515625" style="484" customWidth="1"/>
    <col min="17" max="17" width="11.42578125" style="307"/>
    <col min="18" max="18" width="39" style="307" customWidth="1"/>
    <col min="19" max="16384" width="11.42578125" style="307"/>
  </cols>
  <sheetData>
    <row r="1" spans="1:16" ht="20.25">
      <c r="A1" s="482" t="s">
        <v>987</v>
      </c>
    </row>
    <row r="2" spans="1:16" ht="58.5" customHeight="1">
      <c r="A2" s="482" t="s">
        <v>988</v>
      </c>
    </row>
    <row r="3" spans="1:16" ht="20.25">
      <c r="A3" s="482" t="s">
        <v>989</v>
      </c>
      <c r="M3" s="485"/>
      <c r="N3" s="1896"/>
    </row>
    <row r="4" spans="1:16">
      <c r="M4" s="486"/>
      <c r="N4" s="1111">
        <f>+'IV.1.3. Ingr y egr SDSS'!G17</f>
        <v>1559126046816.97</v>
      </c>
      <c r="O4" s="1896" t="s">
        <v>990</v>
      </c>
    </row>
    <row r="5" spans="1:16" ht="18" customHeight="1">
      <c r="A5" s="2156" t="s">
        <v>991</v>
      </c>
      <c r="B5" s="2156"/>
      <c r="C5" s="2156"/>
      <c r="D5" s="2156"/>
      <c r="E5" s="2156"/>
      <c r="F5" s="2156"/>
      <c r="G5" s="2156"/>
      <c r="H5" s="2156"/>
      <c r="I5" s="2156"/>
      <c r="J5" s="2156"/>
      <c r="K5" s="2156"/>
      <c r="L5" s="2156"/>
      <c r="M5" s="485"/>
      <c r="N5" s="1111">
        <f>+'IV.1.3. Ingr y egr SDSS'!K17</f>
        <v>1563967652974.23</v>
      </c>
      <c r="O5" s="1896" t="s">
        <v>992</v>
      </c>
    </row>
    <row r="6" spans="1:16" ht="18" customHeight="1">
      <c r="A6" s="2156"/>
      <c r="B6" s="2156"/>
      <c r="C6" s="2156"/>
      <c r="D6" s="2156"/>
      <c r="E6" s="2156"/>
      <c r="F6" s="2156"/>
      <c r="G6" s="2156"/>
      <c r="H6" s="2156"/>
      <c r="I6" s="2156"/>
      <c r="J6" s="2156"/>
      <c r="K6" s="2156"/>
      <c r="L6" s="2156"/>
      <c r="M6" s="486"/>
      <c r="N6" s="1298" t="str">
        <f>+'IV.2.2. Pagos SFS A'!A9</f>
        <v>Totales</v>
      </c>
      <c r="O6" s="487">
        <f>+'IV.2.2. Pagos SFS A'!Q9</f>
        <v>1</v>
      </c>
    </row>
    <row r="7" spans="1:16" ht="18" customHeight="1">
      <c r="A7" s="2156"/>
      <c r="B7" s="2156"/>
      <c r="C7" s="2156"/>
      <c r="D7" s="2156"/>
      <c r="E7" s="2156"/>
      <c r="F7" s="2156"/>
      <c r="G7" s="2156"/>
      <c r="H7" s="2156"/>
      <c r="I7" s="2156"/>
      <c r="J7" s="2156"/>
      <c r="K7" s="2156"/>
      <c r="L7" s="2156"/>
      <c r="N7" s="1298" t="str">
        <f>+'IV.2.2. Pagos SFS A'!A5</f>
        <v>Cuidado de la Salud</v>
      </c>
      <c r="O7" s="487">
        <f>+'IV.2.2. Pagos SFS A'!Q5</f>
        <v>0.93050274466431715</v>
      </c>
    </row>
    <row r="8" spans="1:16" ht="18" customHeight="1">
      <c r="A8" s="2156"/>
      <c r="B8" s="2156"/>
      <c r="C8" s="2156"/>
      <c r="D8" s="2156"/>
      <c r="E8" s="2156"/>
      <c r="F8" s="2156"/>
      <c r="G8" s="2156"/>
      <c r="H8" s="2156"/>
      <c r="I8" s="2156"/>
      <c r="J8" s="2156"/>
      <c r="K8" s="2156"/>
      <c r="L8" s="2156"/>
      <c r="N8" s="1298" t="str">
        <f>+'IV.2.2. Pagos SFS A'!A7</f>
        <v xml:space="preserve">Subsidios </v>
      </c>
      <c r="O8" s="487">
        <f>+'IV.2.2. Pagos SFS A'!Q7</f>
        <v>4.5229228080691623E-2</v>
      </c>
    </row>
    <row r="9" spans="1:16" ht="18" customHeight="1">
      <c r="A9" s="2156"/>
      <c r="B9" s="2156"/>
      <c r="C9" s="2156"/>
      <c r="D9" s="2156"/>
      <c r="E9" s="2156"/>
      <c r="F9" s="2156"/>
      <c r="G9" s="2156"/>
      <c r="H9" s="2156"/>
      <c r="I9" s="2156"/>
      <c r="J9" s="2156"/>
      <c r="K9" s="2156"/>
      <c r="L9" s="2156"/>
      <c r="N9" s="1298" t="str">
        <f>+'IV.2.2. Pagos SFS A'!A6</f>
        <v xml:space="preserve">FONAMAT </v>
      </c>
      <c r="O9" s="487">
        <f>+'IV.2.2. Pagos SFS A'!Q6</f>
        <v>1.7783362068848368E-2</v>
      </c>
    </row>
    <row r="10" spans="1:16" ht="18" customHeight="1">
      <c r="A10" s="2156"/>
      <c r="B10" s="2156"/>
      <c r="C10" s="2156"/>
      <c r="D10" s="2156"/>
      <c r="E10" s="2156"/>
      <c r="F10" s="2156"/>
      <c r="G10" s="2156"/>
      <c r="H10" s="2156"/>
      <c r="I10" s="2156"/>
      <c r="J10" s="2156"/>
      <c r="K10" s="2156"/>
      <c r="L10" s="2156"/>
      <c r="N10" s="1298" t="str">
        <f>+'IV.2.2. Pagos SFS A'!A8</f>
        <v>Comisión SISALRIL</v>
      </c>
      <c r="O10" s="487">
        <f>+'IV.2.2. Pagos SFS A'!Q8</f>
        <v>6.4846651861428664E-3</v>
      </c>
      <c r="P10" s="1299">
        <f>+O8+O10</f>
        <v>5.1713893266834489E-2</v>
      </c>
    </row>
    <row r="11" spans="1:16" ht="18" customHeight="1">
      <c r="A11" s="2156"/>
      <c r="B11" s="2156"/>
      <c r="C11" s="2156"/>
      <c r="D11" s="2156"/>
      <c r="E11" s="2156"/>
      <c r="F11" s="2156"/>
      <c r="G11" s="2156"/>
      <c r="H11" s="2156"/>
      <c r="I11" s="2156"/>
      <c r="J11" s="2156"/>
      <c r="K11" s="2156"/>
      <c r="L11" s="2156"/>
      <c r="N11" s="1298"/>
      <c r="O11" s="487"/>
    </row>
    <row r="12" spans="1:16" ht="18" customHeight="1">
      <c r="A12" s="2156"/>
      <c r="B12" s="2156"/>
      <c r="C12" s="2156"/>
      <c r="D12" s="2156"/>
      <c r="E12" s="2156"/>
      <c r="F12" s="2156"/>
      <c r="G12" s="2156"/>
      <c r="H12" s="2156"/>
      <c r="I12" s="2156"/>
      <c r="J12" s="2156"/>
      <c r="K12" s="2156"/>
      <c r="L12" s="2156"/>
    </row>
    <row r="13" spans="1:16" ht="18" customHeight="1">
      <c r="A13" s="2156"/>
      <c r="B13" s="2156"/>
      <c r="C13" s="2156"/>
      <c r="D13" s="2156"/>
      <c r="E13" s="2156"/>
      <c r="F13" s="2156"/>
      <c r="G13" s="2156"/>
      <c r="H13" s="2156"/>
      <c r="I13" s="2156"/>
      <c r="J13" s="2156"/>
      <c r="K13" s="2156"/>
      <c r="L13" s="2156"/>
      <c r="M13" s="488"/>
      <c r="N13" s="489"/>
      <c r="O13" s="491"/>
      <c r="P13" s="491"/>
    </row>
    <row r="14" spans="1:16" ht="18" customHeight="1">
      <c r="A14" s="2156"/>
      <c r="B14" s="2156"/>
      <c r="C14" s="2156"/>
      <c r="D14" s="2156"/>
      <c r="E14" s="2156"/>
      <c r="F14" s="2156"/>
      <c r="G14" s="2156"/>
      <c r="H14" s="2156"/>
      <c r="I14" s="2156"/>
      <c r="J14" s="2156"/>
      <c r="K14" s="2156"/>
      <c r="L14" s="2156"/>
      <c r="M14" s="488"/>
      <c r="O14" s="491"/>
      <c r="P14" s="491"/>
    </row>
    <row r="15" spans="1:16" ht="18" customHeight="1">
      <c r="A15" s="2156"/>
      <c r="B15" s="2156"/>
      <c r="C15" s="2156"/>
      <c r="D15" s="2156"/>
      <c r="E15" s="2156"/>
      <c r="F15" s="2156"/>
      <c r="G15" s="2156"/>
      <c r="H15" s="2156"/>
      <c r="I15" s="2156"/>
      <c r="J15" s="2156"/>
      <c r="K15" s="2156"/>
      <c r="L15" s="2156"/>
      <c r="M15" s="490"/>
      <c r="O15" s="491"/>
      <c r="P15" s="491"/>
    </row>
    <row r="16" spans="1:16" ht="18" customHeight="1">
      <c r="A16" s="2156"/>
      <c r="B16" s="2156"/>
      <c r="C16" s="2156"/>
      <c r="D16" s="2156"/>
      <c r="E16" s="2156"/>
      <c r="F16" s="2156"/>
      <c r="G16" s="2156"/>
      <c r="H16" s="2156"/>
      <c r="I16" s="2156"/>
      <c r="J16" s="2156"/>
      <c r="K16" s="2156"/>
      <c r="L16" s="2156"/>
      <c r="M16" s="485"/>
      <c r="N16" s="491"/>
      <c r="O16" s="491"/>
      <c r="P16" s="491"/>
    </row>
    <row r="17" spans="1:20" ht="18" customHeight="1">
      <c r="A17" s="2156"/>
      <c r="B17" s="2156"/>
      <c r="C17" s="2156"/>
      <c r="D17" s="2156"/>
      <c r="E17" s="2156"/>
      <c r="F17" s="2156"/>
      <c r="G17" s="2156"/>
      <c r="H17" s="2156"/>
      <c r="I17" s="2156"/>
      <c r="J17" s="2156"/>
      <c r="K17" s="2156"/>
      <c r="L17" s="2156"/>
      <c r="M17" s="485"/>
      <c r="O17" s="491"/>
      <c r="P17" s="491"/>
    </row>
    <row r="18" spans="1:20" ht="18" customHeight="1">
      <c r="A18" s="2156"/>
      <c r="B18" s="2156"/>
      <c r="C18" s="2156"/>
      <c r="D18" s="2156"/>
      <c r="E18" s="2156"/>
      <c r="F18" s="2156"/>
      <c r="G18" s="2156"/>
      <c r="H18" s="2156"/>
      <c r="I18" s="2156"/>
      <c r="J18" s="2156"/>
      <c r="K18" s="2156"/>
      <c r="L18" s="2156"/>
      <c r="M18" s="485"/>
      <c r="O18" s="491"/>
      <c r="P18" s="491"/>
    </row>
    <row r="19" spans="1:20" ht="18" customHeight="1">
      <c r="A19" s="2156"/>
      <c r="B19" s="2156"/>
      <c r="C19" s="2156"/>
      <c r="D19" s="2156"/>
      <c r="E19" s="2156"/>
      <c r="F19" s="2156"/>
      <c r="G19" s="2156"/>
      <c r="H19" s="2156"/>
      <c r="I19" s="2156"/>
      <c r="J19" s="2156"/>
      <c r="K19" s="2156"/>
      <c r="L19" s="2156"/>
      <c r="M19" s="485"/>
      <c r="N19" s="489"/>
      <c r="O19" s="491"/>
      <c r="P19" s="491"/>
    </row>
    <row r="20" spans="1:20" ht="18" customHeight="1">
      <c r="A20" s="2156"/>
      <c r="B20" s="2156"/>
      <c r="C20" s="2156"/>
      <c r="D20" s="2156"/>
      <c r="E20" s="2156"/>
      <c r="F20" s="2156"/>
      <c r="G20" s="2156"/>
      <c r="H20" s="2156"/>
      <c r="I20" s="2156"/>
      <c r="J20" s="2156"/>
      <c r="K20" s="2156"/>
      <c r="L20" s="2156"/>
      <c r="M20" s="485"/>
      <c r="N20" s="484" t="str">
        <f>+Tabla30[[#Headers],[Total General
2022- Mar.25]]</f>
        <v>Total General
2022- Mar.25</v>
      </c>
      <c r="O20" s="489">
        <f>+'IV.2.4.Pagos x ARS'!C30</f>
        <v>297020740493.33008</v>
      </c>
      <c r="P20" s="491"/>
    </row>
    <row r="21" spans="1:20" ht="18" customHeight="1">
      <c r="A21" s="2156"/>
      <c r="B21" s="2156"/>
      <c r="C21" s="2156"/>
      <c r="D21" s="2156"/>
      <c r="E21" s="2156"/>
      <c r="F21" s="2156"/>
      <c r="G21" s="2156"/>
      <c r="H21" s="2156"/>
      <c r="I21" s="2156"/>
      <c r="J21" s="2156"/>
      <c r="K21" s="2156"/>
      <c r="L21" s="2156"/>
      <c r="M21" s="485"/>
      <c r="N21" s="484" t="str">
        <f>+Tabla30[[#Headers],[Ene-Abr. 2025]]</f>
        <v>Ene-Abr. 2025</v>
      </c>
      <c r="O21" s="491">
        <f>+'IV.2.4.Pagos x ARS'!D30</f>
        <v>33098601066.32</v>
      </c>
      <c r="P21" s="491"/>
    </row>
    <row r="22" spans="1:20" ht="18" customHeight="1">
      <c r="A22" s="2156"/>
      <c r="B22" s="2156"/>
      <c r="C22" s="2156"/>
      <c r="D22" s="2156"/>
      <c r="E22" s="2156"/>
      <c r="F22" s="2156"/>
      <c r="G22" s="2156"/>
      <c r="H22" s="2156"/>
      <c r="I22" s="2156"/>
      <c r="J22" s="2156"/>
      <c r="K22" s="2156"/>
      <c r="L22" s="2156"/>
      <c r="M22" s="485"/>
      <c r="O22" s="491"/>
      <c r="P22" s="491"/>
    </row>
    <row r="23" spans="1:20" ht="18" customHeight="1">
      <c r="A23" s="2156"/>
      <c r="B23" s="2156"/>
      <c r="C23" s="2156"/>
      <c r="D23" s="2156"/>
      <c r="E23" s="2156"/>
      <c r="F23" s="2156"/>
      <c r="G23" s="2156"/>
      <c r="H23" s="2156"/>
      <c r="I23" s="2156"/>
      <c r="J23" s="2156"/>
      <c r="K23" s="2156"/>
      <c r="L23" s="2156"/>
      <c r="M23" s="485"/>
      <c r="N23" s="484" t="e">
        <f>+'IV.2.7.INV_SFS x Entidad'!A1:D1</f>
        <v>#VALUE!</v>
      </c>
      <c r="O23" s="491"/>
      <c r="P23" s="491"/>
    </row>
    <row r="24" spans="1:20" ht="18" customHeight="1">
      <c r="A24" s="2156"/>
      <c r="B24" s="2156"/>
      <c r="C24" s="2156"/>
      <c r="D24" s="2156"/>
      <c r="E24" s="2156"/>
      <c r="F24" s="2156"/>
      <c r="G24" s="2156"/>
      <c r="H24" s="2156"/>
      <c r="I24" s="2156"/>
      <c r="J24" s="2156"/>
      <c r="K24" s="2156"/>
      <c r="L24" s="2156"/>
      <c r="M24" s="485"/>
      <c r="N24" s="1300" t="s">
        <v>993</v>
      </c>
      <c r="O24" s="1300" t="s">
        <v>994</v>
      </c>
      <c r="P24" s="1300" t="s">
        <v>266</v>
      </c>
    </row>
    <row r="25" spans="1:20" ht="18" customHeight="1">
      <c r="A25" s="2156"/>
      <c r="B25" s="2156"/>
      <c r="C25" s="2156"/>
      <c r="D25" s="2156"/>
      <c r="E25" s="2156"/>
      <c r="F25" s="2156"/>
      <c r="G25" s="2156"/>
      <c r="H25" s="2156"/>
      <c r="I25" s="2156"/>
      <c r="J25" s="2156"/>
      <c r="K25" s="2156"/>
      <c r="L25" s="2156"/>
      <c r="N25" s="1301" t="str">
        <f>+'IV.2.7.INV_SFS x Entidad'!A5</f>
        <v>Certificados Financieros</v>
      </c>
      <c r="O25" s="1111">
        <f>+'IV.2.7.INV_SFS x Entidad'!B5</f>
        <v>1198918249.05</v>
      </c>
      <c r="P25" s="1302">
        <f>+Tabla3115[[#This Row],[ Total Invertido]]/$O$29</f>
        <v>0.49738458599510704</v>
      </c>
    </row>
    <row r="26" spans="1:20" ht="18" customHeight="1">
      <c r="A26" s="2156"/>
      <c r="B26" s="2156"/>
      <c r="C26" s="2156"/>
      <c r="D26" s="2156"/>
      <c r="E26" s="2156"/>
      <c r="F26" s="2156"/>
      <c r="G26" s="2156"/>
      <c r="H26" s="2156"/>
      <c r="I26" s="2156"/>
      <c r="J26" s="2156"/>
      <c r="K26" s="2156"/>
      <c r="L26" s="2156"/>
      <c r="N26" s="1301" t="str">
        <f>+'IV.2.7.INV_SFS x Entidad'!A6</f>
        <v>Títulos Desmaterializados  (REPO)</v>
      </c>
      <c r="O26" s="1111">
        <f>+'IV.2.7.INV_SFS x Entidad'!B6</f>
        <v>756526872.90999997</v>
      </c>
      <c r="P26" s="1302">
        <f>+Tabla3115[[#This Row],[ Total Invertido]]/$O$29</f>
        <v>0.31385359741973584</v>
      </c>
    </row>
    <row r="27" spans="1:20" ht="18" customHeight="1">
      <c r="A27" s="2156"/>
      <c r="B27" s="2156"/>
      <c r="C27" s="2156"/>
      <c r="D27" s="2156"/>
      <c r="E27" s="2156"/>
      <c r="F27" s="2156"/>
      <c r="G27" s="2156"/>
      <c r="H27" s="2156"/>
      <c r="I27" s="2156"/>
      <c r="J27" s="2156"/>
      <c r="K27" s="2156"/>
      <c r="L27" s="2156"/>
      <c r="N27" s="1301" t="str">
        <f>+'IV.2.7.INV_SFS x Entidad'!A7</f>
        <v>Fideicomiso de Adm. Y Fuente de Pago, Garantia e inversion CIIC</v>
      </c>
      <c r="O27" s="1111">
        <f>+'IV.2.7.INV_SFS x Entidad'!B7</f>
        <v>455000000</v>
      </c>
      <c r="P27" s="1302">
        <f>+Tabla3115[[#This Row],[ Total Invertido]]/$O$29</f>
        <v>0.18876181658515703</v>
      </c>
    </row>
    <row r="28" spans="1:20" ht="18" customHeight="1">
      <c r="A28" s="2156"/>
      <c r="B28" s="2156"/>
      <c r="C28" s="2156"/>
      <c r="D28" s="2156"/>
      <c r="E28" s="2156"/>
      <c r="F28" s="2156"/>
      <c r="G28" s="2156"/>
      <c r="H28" s="2156"/>
      <c r="I28" s="2156"/>
      <c r="J28" s="2156"/>
      <c r="K28" s="2156"/>
      <c r="L28" s="2156"/>
      <c r="M28" s="492"/>
      <c r="N28" s="1897" t="str">
        <f>+'IV.2.7.INV_SFS x Entidad'!A9</f>
        <v>Total</v>
      </c>
      <c r="O28" s="1898">
        <f>+'IV.2.7.INV_SFS x Entidad'!B8</f>
        <v>0</v>
      </c>
      <c r="P28" s="1302">
        <f>+Tabla3115[[#This Row],[ Total Invertido]]/$O$29</f>
        <v>0</v>
      </c>
    </row>
    <row r="29" spans="1:20" ht="18" customHeight="1">
      <c r="A29" s="2156"/>
      <c r="B29" s="2156"/>
      <c r="C29" s="2156"/>
      <c r="D29" s="2156"/>
      <c r="E29" s="2156"/>
      <c r="F29" s="2156"/>
      <c r="G29" s="2156"/>
      <c r="H29" s="2156"/>
      <c r="I29" s="2156"/>
      <c r="J29" s="2156"/>
      <c r="K29" s="2156"/>
      <c r="L29" s="2156"/>
      <c r="M29" s="493"/>
      <c r="N29" s="1301"/>
      <c r="O29" s="1177">
        <f>SUM(O25:O28)</f>
        <v>2410445121.96</v>
      </c>
      <c r="P29" s="1302">
        <f>+Tabla3115[[#This Row],[ Total Invertido]]/$O$29</f>
        <v>1</v>
      </c>
    </row>
    <row r="30" spans="1:20" ht="18" customHeight="1">
      <c r="A30" s="2156"/>
      <c r="B30" s="2156"/>
      <c r="C30" s="2156"/>
      <c r="D30" s="2156"/>
      <c r="E30" s="2156"/>
      <c r="F30" s="2156"/>
      <c r="G30" s="2156"/>
      <c r="H30" s="2156"/>
      <c r="I30" s="2156"/>
      <c r="J30" s="2156"/>
      <c r="K30" s="2156"/>
      <c r="L30" s="2156"/>
      <c r="N30" s="1301"/>
      <c r="O30" s="1304"/>
      <c r="P30" s="1305"/>
      <c r="Q30" s="483"/>
      <c r="R30" s="483"/>
      <c r="S30" s="483"/>
      <c r="T30" s="483"/>
    </row>
    <row r="31" spans="1:20" ht="83.25" customHeight="1">
      <c r="A31" s="2156"/>
      <c r="B31" s="2156"/>
      <c r="C31" s="2156"/>
      <c r="D31" s="2156"/>
      <c r="E31" s="2156"/>
      <c r="F31" s="2156"/>
      <c r="G31" s="2156"/>
      <c r="H31" s="2156"/>
      <c r="I31" s="2156"/>
      <c r="J31" s="2156"/>
      <c r="K31" s="2156"/>
      <c r="L31" s="2156"/>
    </row>
    <row r="32" spans="1:20">
      <c r="A32" s="2156"/>
      <c r="B32" s="2156"/>
      <c r="C32" s="2156"/>
      <c r="D32" s="2156"/>
      <c r="E32" s="2156"/>
      <c r="F32" s="2156"/>
      <c r="G32" s="2156"/>
      <c r="H32" s="2156"/>
      <c r="I32" s="2156"/>
      <c r="J32" s="2156"/>
      <c r="K32" s="2156"/>
      <c r="L32" s="2156"/>
    </row>
    <row r="33" spans="1:15">
      <c r="A33" s="2156"/>
      <c r="B33" s="2156"/>
      <c r="C33" s="2156"/>
      <c r="D33" s="2156"/>
      <c r="E33" s="2156"/>
      <c r="F33" s="2156"/>
      <c r="G33" s="2156"/>
      <c r="H33" s="2156"/>
      <c r="I33" s="2156"/>
      <c r="J33" s="2156"/>
      <c r="K33" s="2156"/>
      <c r="L33" s="2156"/>
    </row>
    <row r="34" spans="1:15">
      <c r="A34" s="2156"/>
      <c r="B34" s="2156"/>
      <c r="C34" s="2156"/>
      <c r="D34" s="2156"/>
      <c r="E34" s="2156"/>
      <c r="F34" s="2156"/>
      <c r="G34" s="2156"/>
      <c r="H34" s="2156"/>
      <c r="I34" s="2156"/>
      <c r="J34" s="2156"/>
      <c r="K34" s="2156"/>
      <c r="L34" s="2156"/>
    </row>
    <row r="35" spans="1:15" ht="36">
      <c r="A35" s="2156"/>
      <c r="B35" s="2156"/>
      <c r="C35" s="2156"/>
      <c r="D35" s="2156"/>
      <c r="E35" s="2156"/>
      <c r="F35" s="2156"/>
      <c r="G35" s="2156"/>
      <c r="H35" s="2156"/>
      <c r="I35" s="2156"/>
      <c r="J35" s="2156"/>
      <c r="K35" s="2156"/>
      <c r="L35" s="2156"/>
      <c r="N35" s="1899" t="str">
        <f>+Tabla33[[#Headers],[Aporte Gobierno (Presupuestado)]]</f>
        <v>Aporte Gobierno (Presupuestado)</v>
      </c>
      <c r="O35" s="1900">
        <f>+'IV.2.9.Aport. GOB. y Pagos RS'!B16</f>
        <v>132074733074.23001</v>
      </c>
    </row>
    <row r="36" spans="1:15" ht="32.25" customHeight="1">
      <c r="A36" s="2156"/>
      <c r="B36" s="2156"/>
      <c r="C36" s="2156"/>
      <c r="D36" s="2156"/>
      <c r="E36" s="2156"/>
      <c r="F36" s="2156"/>
      <c r="G36" s="2156"/>
      <c r="H36" s="2156"/>
      <c r="I36" s="2156"/>
      <c r="J36" s="2156"/>
      <c r="K36" s="2156"/>
      <c r="L36" s="2156"/>
      <c r="N36" s="1901" t="str">
        <f>+Tabla33[[#Headers],[ Pago a SENASA ]]</f>
        <v xml:space="preserve"> Pago a SENASA </v>
      </c>
      <c r="O36" s="1900">
        <f>+'IV.2.9.Aport. GOB. y Pagos RS'!C16</f>
        <v>137461546727.62</v>
      </c>
    </row>
    <row r="37" spans="1:15">
      <c r="A37" s="2156"/>
      <c r="B37" s="2156"/>
      <c r="C37" s="2156"/>
      <c r="D37" s="2156"/>
      <c r="E37" s="2156"/>
      <c r="F37" s="2156"/>
      <c r="G37" s="2156"/>
      <c r="H37" s="2156"/>
      <c r="I37" s="2156"/>
      <c r="J37" s="2156"/>
      <c r="K37" s="2156"/>
      <c r="L37" s="2156"/>
      <c r="N37" s="1303"/>
    </row>
    <row r="38" spans="1:15">
      <c r="A38" s="2156"/>
      <c r="B38" s="2156"/>
      <c r="C38" s="2156"/>
      <c r="D38" s="2156"/>
      <c r="E38" s="2156"/>
      <c r="F38" s="2156"/>
      <c r="G38" s="2156"/>
      <c r="H38" s="2156"/>
      <c r="I38" s="2156"/>
      <c r="J38" s="2156"/>
      <c r="K38" s="2156"/>
      <c r="L38" s="2156"/>
    </row>
    <row r="39" spans="1:15">
      <c r="A39" s="2156"/>
      <c r="B39" s="2156"/>
      <c r="C39" s="2156"/>
      <c r="D39" s="2156"/>
      <c r="E39" s="2156"/>
      <c r="F39" s="2156"/>
      <c r="G39" s="2156"/>
      <c r="H39" s="2156"/>
      <c r="I39" s="2156"/>
      <c r="J39" s="2156"/>
      <c r="K39" s="2156"/>
      <c r="L39" s="2156"/>
      <c r="N39" s="491" t="s">
        <v>995</v>
      </c>
      <c r="O39" s="484">
        <f>+'IV.1.3. Ingr y egr SDSS'!F17</f>
        <v>12310887139.85</v>
      </c>
    </row>
    <row r="40" spans="1:15">
      <c r="A40" s="2156"/>
      <c r="B40" s="2156"/>
      <c r="C40" s="2156"/>
      <c r="D40" s="2156"/>
      <c r="E40" s="2156"/>
      <c r="F40" s="2156"/>
      <c r="G40" s="2156"/>
      <c r="H40" s="2156"/>
      <c r="I40" s="2156"/>
      <c r="J40" s="2156"/>
      <c r="K40" s="2156"/>
      <c r="L40" s="2156"/>
      <c r="N40" s="491" t="s">
        <v>996</v>
      </c>
      <c r="O40" s="484">
        <f>+'IV.2.10 Pagos.SFS Pens.'!B16</f>
        <v>10955640817.629999</v>
      </c>
    </row>
    <row r="41" spans="1:15">
      <c r="A41" s="2156"/>
      <c r="B41" s="2156"/>
      <c r="C41" s="2156"/>
      <c r="D41" s="2156"/>
      <c r="E41" s="2156"/>
      <c r="F41" s="2156"/>
      <c r="G41" s="2156"/>
      <c r="H41" s="2156"/>
      <c r="I41" s="2156"/>
      <c r="J41" s="2156"/>
      <c r="K41" s="2156"/>
      <c r="L41" s="2156"/>
    </row>
    <row r="42" spans="1:15">
      <c r="A42" s="2156"/>
      <c r="B42" s="2156"/>
      <c r="C42" s="2156"/>
      <c r="D42" s="2156"/>
      <c r="E42" s="2156"/>
      <c r="F42" s="2156"/>
      <c r="G42" s="2156"/>
      <c r="H42" s="2156"/>
      <c r="I42" s="2156"/>
      <c r="J42" s="2156"/>
      <c r="K42" s="2156"/>
      <c r="L42" s="2156"/>
    </row>
    <row r="43" spans="1:15">
      <c r="A43" s="2156"/>
      <c r="B43" s="2156"/>
      <c r="C43" s="2156"/>
      <c r="D43" s="2156"/>
      <c r="E43" s="2156"/>
      <c r="F43" s="2156"/>
      <c r="G43" s="2156"/>
      <c r="H43" s="2156"/>
      <c r="I43" s="2156"/>
      <c r="J43" s="2156"/>
      <c r="K43" s="2156"/>
      <c r="L43" s="2156"/>
    </row>
    <row r="44" spans="1:15">
      <c r="A44" s="2156"/>
      <c r="B44" s="2156"/>
      <c r="C44" s="2156"/>
      <c r="D44" s="2156"/>
      <c r="E44" s="2156"/>
      <c r="F44" s="2156"/>
      <c r="G44" s="2156"/>
      <c r="H44" s="2156"/>
      <c r="I44" s="2156"/>
      <c r="J44" s="2156"/>
      <c r="K44" s="2156"/>
      <c r="L44" s="2156"/>
    </row>
    <row r="45" spans="1:15">
      <c r="A45" s="2156"/>
      <c r="B45" s="2156"/>
      <c r="C45" s="2156"/>
      <c r="D45" s="2156"/>
      <c r="E45" s="2156"/>
      <c r="F45" s="2156"/>
      <c r="G45" s="2156"/>
      <c r="H45" s="2156"/>
      <c r="I45" s="2156"/>
      <c r="J45" s="2156"/>
      <c r="K45" s="2156"/>
      <c r="L45" s="2156"/>
    </row>
    <row r="46" spans="1:15">
      <c r="A46" s="2156"/>
      <c r="B46" s="2156"/>
      <c r="C46" s="2156"/>
      <c r="D46" s="2156"/>
      <c r="E46" s="2156"/>
      <c r="F46" s="2156"/>
      <c r="G46" s="2156"/>
      <c r="H46" s="2156"/>
      <c r="I46" s="2156"/>
      <c r="J46" s="2156"/>
      <c r="K46" s="2156"/>
      <c r="L46" s="2156"/>
    </row>
    <row r="47" spans="1:15">
      <c r="A47" s="2156"/>
      <c r="B47" s="2156"/>
      <c r="C47" s="2156"/>
      <c r="D47" s="2156"/>
      <c r="E47" s="2156"/>
      <c r="F47" s="2156"/>
      <c r="G47" s="2156"/>
      <c r="H47" s="2156"/>
      <c r="I47" s="2156"/>
      <c r="J47" s="2156"/>
      <c r="K47" s="2156"/>
      <c r="L47" s="2156"/>
    </row>
    <row r="48" spans="1:15" ht="53.25" customHeight="1">
      <c r="A48" s="2156"/>
      <c r="B48" s="2156"/>
      <c r="C48" s="2156"/>
      <c r="D48" s="2156"/>
      <c r="E48" s="2156"/>
      <c r="F48" s="2156"/>
      <c r="G48" s="2156"/>
      <c r="H48" s="2156"/>
      <c r="I48" s="2156"/>
      <c r="J48" s="2156"/>
      <c r="K48" s="2156"/>
      <c r="L48" s="2156"/>
    </row>
    <row r="49" spans="1:12">
      <c r="A49" s="2156"/>
      <c r="B49" s="2156"/>
      <c r="C49" s="2156"/>
      <c r="D49" s="2156"/>
      <c r="E49" s="2156"/>
      <c r="F49" s="2156"/>
      <c r="G49" s="2156"/>
      <c r="H49" s="2156"/>
      <c r="I49" s="2156"/>
      <c r="J49" s="2156"/>
      <c r="K49" s="2156"/>
      <c r="L49" s="2156"/>
    </row>
    <row r="50" spans="1:12">
      <c r="A50" s="2156"/>
      <c r="B50" s="2156"/>
      <c r="C50" s="2156"/>
      <c r="D50" s="2156"/>
      <c r="E50" s="2156"/>
      <c r="F50" s="2156"/>
      <c r="G50" s="2156"/>
      <c r="H50" s="2156"/>
      <c r="I50" s="2156"/>
      <c r="J50" s="2156"/>
      <c r="K50" s="2156"/>
      <c r="L50" s="2156"/>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BA110"/>
  <sheetViews>
    <sheetView showGridLines="0" view="pageBreakPreview" zoomScale="25" zoomScaleNormal="39" zoomScaleSheetLayoutView="25" zoomScalePageLayoutView="25" workbookViewId="0">
      <selection activeCell="O17" sqref="O17"/>
    </sheetView>
  </sheetViews>
  <sheetFormatPr defaultColWidth="11.42578125" defaultRowHeight="45.75"/>
  <cols>
    <col min="1" max="1" width="19.85546875" style="307" customWidth="1"/>
    <col min="2" max="2" width="43.28515625" style="307" customWidth="1"/>
    <col min="3" max="3" width="67.5703125" style="307" customWidth="1"/>
    <col min="4" max="4" width="58.140625" style="307" customWidth="1"/>
    <col min="5" max="5" width="47.85546875" style="307" customWidth="1"/>
    <col min="6" max="6" width="102.28515625" style="307" customWidth="1"/>
    <col min="7" max="7" width="117.7109375" style="307" customWidth="1"/>
    <col min="8" max="8" width="54" style="307" customWidth="1"/>
    <col min="9" max="9" width="36.140625" style="307" customWidth="1"/>
    <col min="10" max="10" width="55.28515625" style="307" customWidth="1"/>
    <col min="11" max="11" width="42.42578125" style="307" customWidth="1"/>
    <col min="12" max="12" width="37.85546875" style="307" customWidth="1"/>
    <col min="13" max="13" width="24.42578125" style="307" customWidth="1"/>
    <col min="14" max="14" width="42.140625" style="268" customWidth="1"/>
    <col min="15" max="15" width="124.7109375" style="1527" customWidth="1"/>
    <col min="16" max="16" width="76.7109375" style="1527" bestFit="1" customWidth="1"/>
    <col min="17" max="18" width="81.85546875" style="1527" bestFit="1" customWidth="1"/>
    <col min="19" max="19" width="40.140625" style="1527" bestFit="1" customWidth="1"/>
    <col min="20" max="20" width="45.28515625" style="1236" customWidth="1"/>
    <col min="21" max="21" width="45.28515625" style="268" customWidth="1"/>
    <col min="22" max="22" width="56.140625" style="268" bestFit="1" customWidth="1"/>
    <col min="23" max="16384" width="11.42578125" style="268"/>
  </cols>
  <sheetData>
    <row r="1" spans="1:20" ht="296.25" customHeight="1">
      <c r="A1" s="2010" t="s">
        <v>250</v>
      </c>
      <c r="B1" s="2010"/>
      <c r="C1" s="2010"/>
      <c r="D1" s="2010"/>
      <c r="E1" s="2010"/>
      <c r="F1" s="2010"/>
      <c r="G1" s="2010"/>
      <c r="H1" s="2010"/>
      <c r="I1" s="2010"/>
      <c r="J1" s="2010"/>
      <c r="K1" s="2010"/>
      <c r="L1" s="2010"/>
      <c r="M1" s="2011"/>
    </row>
    <row r="2" spans="1:20" ht="15.75" customHeight="1"/>
    <row r="3" spans="1:20" ht="12.75" customHeight="1"/>
    <row r="4" spans="1:20" ht="116.25" customHeight="1">
      <c r="O4" s="1545" t="s">
        <v>225</v>
      </c>
      <c r="P4" s="1546">
        <f>+'III.1.3.Afil.SFSPob.Nac.'!D22</f>
        <v>0.97238069448558251</v>
      </c>
    </row>
    <row r="5" spans="1:20" ht="50.25" customHeight="1">
      <c r="C5" s="2025" t="s">
        <v>227</v>
      </c>
      <c r="D5" s="2025"/>
      <c r="E5" s="2025"/>
      <c r="F5" s="2025"/>
      <c r="G5" s="1591"/>
      <c r="O5" s="1545"/>
      <c r="P5" s="1545"/>
    </row>
    <row r="6" spans="1:20" ht="155.25" customHeight="1">
      <c r="G6" s="1591"/>
      <c r="H6" s="1591"/>
      <c r="O6" s="1545" t="s">
        <v>226</v>
      </c>
      <c r="P6" s="1545">
        <f>+'III.1.3.Afil.SFSPob.Nac.'!B22</f>
        <v>10564432</v>
      </c>
    </row>
    <row r="7" spans="1:20">
      <c r="O7" s="1545" t="s">
        <v>228</v>
      </c>
      <c r="P7" s="1545">
        <f>+' II.4.Empr x No. de empl'!D14</f>
        <v>2554953</v>
      </c>
    </row>
    <row r="8" spans="1:20">
      <c r="O8" s="1545" t="s">
        <v>251</v>
      </c>
      <c r="P8" s="1545">
        <f>+'Resumen '!B45</f>
        <v>5392563</v>
      </c>
    </row>
    <row r="9" spans="1:20" ht="144.75" customHeight="1">
      <c r="O9" s="1545"/>
      <c r="P9" s="1545"/>
    </row>
    <row r="10" spans="1:20">
      <c r="E10" s="308"/>
      <c r="O10" s="1545" t="s">
        <v>252</v>
      </c>
      <c r="P10" s="1545"/>
    </row>
    <row r="11" spans="1:20" s="887" customFormat="1" ht="107.25" customHeight="1">
      <c r="B11" s="1524"/>
      <c r="C11" s="1524"/>
      <c r="O11" s="1547" t="s">
        <v>229</v>
      </c>
      <c r="P11" s="1547"/>
      <c r="Q11" s="1528"/>
      <c r="R11" s="1528"/>
      <c r="S11" s="1528"/>
      <c r="T11" s="1237"/>
    </row>
    <row r="12" spans="1:20" ht="63" customHeight="1">
      <c r="A12" s="2025"/>
      <c r="B12" s="2025"/>
      <c r="C12" s="2025"/>
      <c r="D12" s="2025"/>
      <c r="E12" s="2025"/>
    </row>
    <row r="13" spans="1:20" ht="98.25" customHeight="1">
      <c r="A13" s="1525"/>
      <c r="B13" s="1525"/>
      <c r="C13" s="1525"/>
      <c r="D13" s="1525"/>
      <c r="E13" s="1472"/>
      <c r="G13" s="1525"/>
      <c r="N13"/>
      <c r="O13" s="1697" t="s">
        <v>253</v>
      </c>
      <c r="P13" s="1697" t="s">
        <v>254</v>
      </c>
    </row>
    <row r="14" spans="1:20" ht="23.25" customHeight="1">
      <c r="D14" s="1688"/>
      <c r="E14" s="1688"/>
      <c r="O14" s="1698">
        <v>0.50250772244384279</v>
      </c>
      <c r="P14" s="1699">
        <v>0.49749227755615716</v>
      </c>
    </row>
    <row r="15" spans="1:20" ht="50.25" customHeight="1">
      <c r="A15" s="310"/>
      <c r="B15" s="310"/>
      <c r="C15" s="1584"/>
      <c r="D15" s="1592"/>
      <c r="E15" s="1592"/>
      <c r="F15"/>
      <c r="G15" s="310"/>
    </row>
    <row r="16" spans="1:20" ht="16.5" customHeight="1">
      <c r="A16" s="310"/>
      <c r="B16" s="310"/>
      <c r="C16" s="1584"/>
      <c r="D16" s="1592"/>
      <c r="E16"/>
      <c r="G16" s="310"/>
    </row>
    <row r="17" spans="1:23" ht="35.25" customHeight="1">
      <c r="A17" s="1525"/>
      <c r="B17" s="1525"/>
      <c r="C17" s="1584"/>
      <c r="D17" s="1592"/>
      <c r="E17" s="1592"/>
      <c r="G17" s="1525"/>
    </row>
    <row r="18" spans="1:23" ht="42.75" customHeight="1">
      <c r="A18" s="1525"/>
      <c r="B18" s="1525"/>
      <c r="C18" s="1584"/>
      <c r="D18" s="1592"/>
      <c r="E18" s="1592"/>
      <c r="G18" s="1525"/>
    </row>
    <row r="19" spans="1:23" ht="43.5" customHeight="1">
      <c r="A19" s="309"/>
      <c r="C19" s="1582"/>
      <c r="D19" s="1592"/>
      <c r="E19" s="1592"/>
      <c r="G19" s="309"/>
    </row>
    <row r="20" spans="1:23" ht="31.5" customHeight="1">
      <c r="A20" s="309"/>
      <c r="C20" s="1582"/>
      <c r="D20" s="1582"/>
      <c r="G20" s="309"/>
    </row>
    <row r="21" spans="1:23" ht="136.5" customHeight="1">
      <c r="A21" s="310"/>
      <c r="D21" s="1583"/>
      <c r="G21" s="310"/>
    </row>
    <row r="22" spans="1:23" ht="177" customHeight="1">
      <c r="C22" s="2026"/>
      <c r="D22" s="2026"/>
      <c r="O22"/>
    </row>
    <row r="23" spans="1:23" ht="178.5" customHeight="1">
      <c r="C23" s="1526"/>
      <c r="D23" s="1526"/>
    </row>
    <row r="24" spans="1:23" ht="81" customHeight="1">
      <c r="A24" s="2015"/>
      <c r="B24" s="2015"/>
      <c r="C24" s="2015"/>
      <c r="D24" s="2015"/>
      <c r="E24" s="2015"/>
    </row>
    <row r="25" spans="1:23" ht="34.5" customHeight="1">
      <c r="C25" s="314"/>
      <c r="J25" s="314"/>
    </row>
    <row r="26" spans="1:23" s="269" customFormat="1" ht="90" customHeight="1">
      <c r="N26" s="268"/>
      <c r="O26" s="1527"/>
      <c r="P26" s="1527"/>
      <c r="Q26" s="1527"/>
      <c r="R26" s="1527"/>
      <c r="S26" s="1527"/>
      <c r="T26" s="1236"/>
      <c r="U26" s="268"/>
      <c r="V26" s="268"/>
      <c r="W26" s="268"/>
    </row>
    <row r="27" spans="1:23" ht="6.75" customHeight="1"/>
    <row r="28" spans="1:23" ht="16.5" customHeight="1">
      <c r="C28" s="314"/>
      <c r="J28" s="314"/>
    </row>
    <row r="29" spans="1:23" ht="46.5">
      <c r="C29" s="313"/>
      <c r="L29" s="313"/>
      <c r="O29" s="2023" t="s">
        <v>230</v>
      </c>
      <c r="P29" s="2023"/>
      <c r="Q29" s="2023"/>
      <c r="R29" s="2023"/>
      <c r="S29" s="1529"/>
    </row>
    <row r="30" spans="1:23" ht="144" customHeight="1">
      <c r="C30" s="313"/>
      <c r="L30" s="313"/>
      <c r="O30" s="1530" t="s">
        <v>231</v>
      </c>
      <c r="P30" s="1531" t="s">
        <v>232</v>
      </c>
      <c r="Q30" s="1531" t="s">
        <v>233</v>
      </c>
      <c r="R30" s="1531" t="s">
        <v>234</v>
      </c>
      <c r="S30" s="1531" t="s">
        <v>235</v>
      </c>
      <c r="T30" s="1531" t="s">
        <v>236</v>
      </c>
      <c r="U30" s="1531" t="s">
        <v>237</v>
      </c>
    </row>
    <row r="31" spans="1:23" ht="60">
      <c r="L31" s="313"/>
      <c r="O31" s="1532" t="s">
        <v>238</v>
      </c>
      <c r="P31" s="1533">
        <f>+P40+P49</f>
        <v>3597939</v>
      </c>
      <c r="Q31" s="1533">
        <f>+Q40+Q49</f>
        <v>1506803</v>
      </c>
      <c r="R31" s="1533">
        <f>+R40</f>
        <v>82266</v>
      </c>
      <c r="S31" s="1533">
        <f>SUM(P31:R31)</f>
        <v>5187008</v>
      </c>
      <c r="T31" s="1544">
        <f>+S31/S33</f>
        <v>0.49743056936772234</v>
      </c>
      <c r="U31" s="1544">
        <v>1</v>
      </c>
    </row>
    <row r="32" spans="1:23" ht="60">
      <c r="O32" s="1532" t="s">
        <v>239</v>
      </c>
      <c r="P32" s="1533">
        <f>+P41+P50</f>
        <v>3398814</v>
      </c>
      <c r="Q32" s="1533">
        <f>+Q41+Q50</f>
        <v>1662505</v>
      </c>
      <c r="R32" s="1533">
        <f>+R41</f>
        <v>179275</v>
      </c>
      <c r="S32" s="1533">
        <f>SUM(P32:R32)</f>
        <v>5240594</v>
      </c>
      <c r="T32" s="1544">
        <f>+S32/S33</f>
        <v>0.50256943063227766</v>
      </c>
      <c r="U32" s="1544">
        <v>1</v>
      </c>
    </row>
    <row r="33" spans="14:23" ht="45">
      <c r="O33" s="1532" t="s">
        <v>235</v>
      </c>
      <c r="P33" s="1534">
        <f>SUM(P31:P32)</f>
        <v>6996753</v>
      </c>
      <c r="Q33" s="1534">
        <f>SUM(Q31:Q32)</f>
        <v>3169308</v>
      </c>
      <c r="R33" s="1534">
        <f>SUM(R31:R32)</f>
        <v>261541</v>
      </c>
      <c r="S33" s="1534">
        <f>SUM(P33:R33)</f>
        <v>10427602</v>
      </c>
    </row>
    <row r="34" spans="14:23" ht="46.5">
      <c r="O34" s="1529" t="s">
        <v>240</v>
      </c>
      <c r="P34" s="1529"/>
      <c r="Q34" s="1529"/>
      <c r="R34" s="1529"/>
      <c r="S34" s="1529"/>
    </row>
    <row r="35" spans="14:23" ht="46.5">
      <c r="O35" s="1529"/>
      <c r="P35" s="1529"/>
      <c r="Q35" s="1529"/>
      <c r="R35" s="1529"/>
      <c r="S35" s="1529"/>
    </row>
    <row r="36" spans="14:23" ht="46.5">
      <c r="O36" s="1529"/>
      <c r="P36" s="1529"/>
      <c r="Q36" s="1529"/>
      <c r="R36" s="1529"/>
      <c r="S36" s="1529"/>
    </row>
    <row r="37" spans="14:23" ht="46.5">
      <c r="O37"/>
      <c r="P37" s="1529"/>
      <c r="Q37" s="1529"/>
      <c r="R37" s="1529"/>
      <c r="S37" s="1529"/>
    </row>
    <row r="38" spans="14:23" ht="142.5" customHeight="1">
      <c r="O38" s="1577" t="s">
        <v>241</v>
      </c>
      <c r="P38" s="1577"/>
      <c r="Q38" s="1577"/>
      <c r="R38" s="1577"/>
      <c r="S38" s="1529"/>
    </row>
    <row r="39" spans="14:23" ht="88.5" customHeight="1">
      <c r="O39" s="1530" t="s">
        <v>231</v>
      </c>
      <c r="P39" s="1531" t="s">
        <v>232</v>
      </c>
      <c r="Q39" s="1531" t="s">
        <v>234</v>
      </c>
      <c r="R39" s="1531" t="s">
        <v>242</v>
      </c>
      <c r="S39" s="1529"/>
    </row>
    <row r="40" spans="14:23" ht="45">
      <c r="O40" s="1532" t="s">
        <v>238</v>
      </c>
      <c r="P40" s="1533">
        <v>1207674</v>
      </c>
      <c r="Q40" s="1533">
        <v>1033018</v>
      </c>
      <c r="R40" s="1533">
        <v>82266</v>
      </c>
      <c r="S40" s="1531" t="s">
        <v>243</v>
      </c>
    </row>
    <row r="41" spans="14:23" ht="46.5">
      <c r="O41" s="1532" t="s">
        <v>239</v>
      </c>
      <c r="P41" s="1533">
        <v>929410</v>
      </c>
      <c r="Q41" s="1533">
        <v>1232008</v>
      </c>
      <c r="R41" s="1533">
        <v>179275</v>
      </c>
      <c r="S41" s="1535">
        <f>SUM(P40:R40)</f>
        <v>2322958</v>
      </c>
    </row>
    <row r="42" spans="14:23" s="307" customFormat="1" ht="180.75" customHeight="1">
      <c r="N42" s="268"/>
      <c r="O42" s="268"/>
      <c r="P42" s="268"/>
      <c r="Q42" s="268"/>
      <c r="R42" s="268"/>
      <c r="S42" s="1535"/>
      <c r="T42" s="1236"/>
      <c r="U42" s="268"/>
      <c r="V42" s="268"/>
      <c r="W42" s="268"/>
    </row>
    <row r="43" spans="14:23" s="307" customFormat="1" ht="37.5" customHeight="1">
      <c r="N43" s="268"/>
      <c r="O43" s="268"/>
      <c r="P43" s="268"/>
      <c r="Q43" s="268"/>
      <c r="R43" s="268"/>
      <c r="S43" s="1578">
        <f>SUM(S41:S41)</f>
        <v>2322958</v>
      </c>
      <c r="T43" s="268"/>
      <c r="U43" s="268"/>
      <c r="V43" s="268"/>
      <c r="W43" s="268"/>
    </row>
    <row r="44" spans="14:23" ht="46.5">
      <c r="O44" s="1529"/>
      <c r="P44" s="1529"/>
      <c r="Q44" s="1529"/>
      <c r="R44" s="1529"/>
      <c r="S44" s="268"/>
      <c r="T44" s="268"/>
    </row>
    <row r="45" spans="14:23" ht="46.5">
      <c r="O45" s="1529"/>
      <c r="P45" s="1529"/>
      <c r="Q45" s="1529"/>
      <c r="R45" s="1529"/>
      <c r="S45" s="1529"/>
    </row>
    <row r="46" spans="14:23" ht="46.5">
      <c r="O46" s="1529"/>
      <c r="P46" s="1529"/>
      <c r="Q46" s="1529"/>
      <c r="R46" s="1529"/>
      <c r="S46" s="1529"/>
    </row>
    <row r="47" spans="14:23" ht="46.5">
      <c r="O47" s="2023" t="s">
        <v>244</v>
      </c>
      <c r="P47" s="2023"/>
      <c r="Q47" s="2023"/>
      <c r="R47" s="2023"/>
      <c r="S47" s="1529"/>
    </row>
    <row r="48" spans="14:23" ht="46.5">
      <c r="O48" s="1530" t="s">
        <v>231</v>
      </c>
      <c r="P48" s="1531" t="s">
        <v>232</v>
      </c>
      <c r="Q48" s="1531" t="s">
        <v>233</v>
      </c>
      <c r="R48" s="1531" t="s">
        <v>235</v>
      </c>
      <c r="S48" s="1529"/>
    </row>
    <row r="49" spans="1:19" ht="46.5">
      <c r="O49" s="1532" t="s">
        <v>238</v>
      </c>
      <c r="P49" s="1533">
        <v>2390265</v>
      </c>
      <c r="Q49" s="1533">
        <v>473785</v>
      </c>
      <c r="R49" s="1534">
        <f>SUM(P49:Q49)</f>
        <v>2864050</v>
      </c>
      <c r="S49" s="1529"/>
    </row>
    <row r="50" spans="1:19" ht="46.5">
      <c r="O50" s="1532" t="s">
        <v>239</v>
      </c>
      <c r="P50" s="1533">
        <v>2469404</v>
      </c>
      <c r="Q50" s="1533">
        <v>430497</v>
      </c>
      <c r="R50" s="1534">
        <f>SUM(P50:Q50)</f>
        <v>2899901</v>
      </c>
      <c r="S50" s="1529"/>
    </row>
    <row r="51" spans="1:19" ht="46.5">
      <c r="O51" s="1532" t="s">
        <v>235</v>
      </c>
      <c r="P51" s="1534">
        <f>SUM(P49:P50)</f>
        <v>4859669</v>
      </c>
      <c r="Q51" s="1534">
        <f>SUM(Q49:Q50)</f>
        <v>904282</v>
      </c>
      <c r="R51" s="1534">
        <f>SUM(P51:Q51)</f>
        <v>5763951</v>
      </c>
      <c r="S51" s="1529"/>
    </row>
    <row r="52" spans="1:19" ht="178.5" customHeight="1">
      <c r="O52" s="1529">
        <f>+O43</f>
        <v>0</v>
      </c>
      <c r="P52" s="1529"/>
      <c r="Q52" s="1529"/>
      <c r="R52" s="1529"/>
      <c r="S52" s="1529"/>
    </row>
    <row r="53" spans="1:19" ht="86.25" customHeight="1">
      <c r="S53" s="1529"/>
    </row>
    <row r="56" spans="1:19">
      <c r="P56" s="1579" t="s">
        <v>245</v>
      </c>
      <c r="Q56" s="1579" t="s">
        <v>176</v>
      </c>
    </row>
    <row r="57" spans="1:19" ht="60">
      <c r="O57" s="1580" t="s">
        <v>246</v>
      </c>
      <c r="P57" s="1581">
        <f>+T31</f>
        <v>0.49743056936772234</v>
      </c>
      <c r="Q57" s="1581">
        <f>+T32</f>
        <v>0.50256943063227766</v>
      </c>
    </row>
    <row r="58" spans="1:19" ht="60">
      <c r="G58" s="2009"/>
      <c r="H58" s="2009"/>
      <c r="I58" s="2009"/>
      <c r="J58" s="2009"/>
      <c r="K58" s="2009"/>
      <c r="L58" s="2009"/>
      <c r="M58" s="2009"/>
      <c r="O58" s="1580" t="s">
        <v>237</v>
      </c>
      <c r="P58" s="1581">
        <v>1</v>
      </c>
      <c r="Q58" s="1581">
        <v>1</v>
      </c>
    </row>
    <row r="61" spans="1:19" ht="180.75" customHeight="1">
      <c r="A61" s="1526"/>
    </row>
    <row r="62" spans="1:19" ht="264" customHeight="1"/>
    <row r="63" spans="1:19">
      <c r="S63" s="268"/>
    </row>
    <row r="65" spans="1:21">
      <c r="U65" s="269"/>
    </row>
    <row r="70" spans="1:21" ht="78.75" customHeight="1"/>
    <row r="71" spans="1:21" ht="141.75" customHeight="1"/>
    <row r="76" spans="1:21" ht="60">
      <c r="O76" s="1550" t="s">
        <v>247</v>
      </c>
      <c r="P76" s="1551"/>
    </row>
    <row r="77" spans="1:21" ht="87.75" customHeight="1">
      <c r="A77" s="1288"/>
      <c r="B77" s="1288"/>
      <c r="C77" s="1288"/>
      <c r="D77" s="1288"/>
      <c r="E77" s="1288"/>
      <c r="F77" s="1288"/>
      <c r="G77" s="1288"/>
      <c r="H77" s="1288"/>
      <c r="I77" s="1288"/>
      <c r="J77" s="1288"/>
      <c r="K77" s="1288"/>
      <c r="L77" s="1288"/>
      <c r="M77" s="1288"/>
      <c r="N77" s="1296"/>
      <c r="O77" s="1550" t="s">
        <v>248</v>
      </c>
      <c r="P77" s="1551"/>
    </row>
    <row r="78" spans="1:21" ht="60">
      <c r="A78" s="1288"/>
      <c r="B78" s="1288"/>
      <c r="C78" s="1288"/>
      <c r="D78" s="1288"/>
      <c r="E78" s="1288"/>
      <c r="F78" s="1288"/>
      <c r="G78" s="1288"/>
      <c r="H78" s="1288"/>
      <c r="I78" s="1288"/>
      <c r="J78" s="1288"/>
      <c r="K78" s="1288"/>
      <c r="L78" s="1288"/>
      <c r="M78" s="1288"/>
      <c r="N78" s="1548"/>
      <c r="O78" s="1550" t="s">
        <v>249</v>
      </c>
      <c r="P78" s="1551"/>
    </row>
    <row r="79" spans="1:21" ht="60">
      <c r="A79" s="1288"/>
      <c r="B79" s="1288"/>
      <c r="C79" s="1288"/>
      <c r="D79" s="1288"/>
      <c r="E79" s="1288"/>
      <c r="F79" s="1288"/>
      <c r="G79" s="1288"/>
      <c r="H79" s="1288"/>
      <c r="I79" s="1288"/>
      <c r="J79" s="1288"/>
      <c r="K79" s="1288"/>
      <c r="L79" s="1288"/>
      <c r="M79" s="1288"/>
      <c r="N79" s="1548"/>
    </row>
    <row r="80" spans="1:21" ht="60">
      <c r="A80" s="1288"/>
      <c r="B80" s="1288"/>
      <c r="C80" s="1288"/>
      <c r="D80" s="1288"/>
      <c r="E80" s="1288"/>
      <c r="F80" s="1288"/>
      <c r="G80" s="1288"/>
      <c r="H80" s="1288"/>
      <c r="I80" s="1288"/>
      <c r="J80" s="1288"/>
      <c r="K80" s="1288"/>
      <c r="L80" s="1288"/>
      <c r="M80" s="1288"/>
      <c r="N80" s="1548"/>
    </row>
    <row r="81" spans="1:53" ht="168.75" customHeight="1">
      <c r="A81" s="1288"/>
      <c r="B81" s="1288"/>
      <c r="C81" s="1288"/>
      <c r="D81" s="1288"/>
      <c r="E81" s="1288"/>
      <c r="F81" s="1288"/>
      <c r="G81" s="1288"/>
      <c r="H81" s="1288"/>
      <c r="I81" s="1288"/>
      <c r="J81" s="1288"/>
      <c r="K81" s="1288"/>
      <c r="L81" s="1288"/>
      <c r="M81" s="1288"/>
      <c r="N81" s="1548"/>
    </row>
    <row r="82" spans="1:53" ht="60">
      <c r="A82" s="1288"/>
      <c r="B82" s="1288"/>
      <c r="C82" s="1288"/>
      <c r="D82" s="1288"/>
      <c r="E82" s="1288"/>
      <c r="F82" s="1288"/>
      <c r="G82" s="1288"/>
      <c r="H82" s="1288"/>
      <c r="I82" s="1288"/>
      <c r="J82" s="1288"/>
      <c r="K82" s="1288"/>
      <c r="L82" s="1288"/>
      <c r="M82" s="1288"/>
      <c r="N82" s="1548"/>
    </row>
    <row r="83" spans="1:53" ht="90.75" customHeight="1">
      <c r="A83" s="1288"/>
      <c r="B83" s="1288"/>
      <c r="C83" s="1288"/>
      <c r="D83" s="1288"/>
      <c r="E83" s="1288"/>
      <c r="F83" s="1288"/>
      <c r="G83" s="1288"/>
      <c r="H83" s="1288"/>
      <c r="I83" s="1288"/>
      <c r="J83" s="1288"/>
      <c r="K83" s="1288"/>
      <c r="L83" s="1288"/>
      <c r="M83" s="1288"/>
      <c r="N83" s="1548"/>
    </row>
    <row r="84" spans="1:53" s="1296" customFormat="1" ht="129" customHeight="1">
      <c r="A84" s="1288"/>
      <c r="B84" s="1288"/>
      <c r="C84" s="1288"/>
      <c r="D84" s="1288"/>
      <c r="E84" s="1288"/>
      <c r="F84" s="1288"/>
      <c r="G84" s="1288"/>
      <c r="H84" s="1288"/>
      <c r="I84" s="1288"/>
      <c r="J84" s="1288"/>
      <c r="K84" s="1288"/>
      <c r="L84" s="1288"/>
      <c r="M84" s="1288"/>
      <c r="N84" s="1548"/>
      <c r="Q84" s="1291"/>
      <c r="R84" s="1291"/>
      <c r="S84" s="1291"/>
      <c r="T84" s="1292"/>
      <c r="AX84" s="1527"/>
      <c r="AY84" s="1527"/>
      <c r="AZ84" s="1527"/>
      <c r="BA84" s="1527"/>
    </row>
    <row r="85" spans="1:53" s="1296" customFormat="1" ht="198.75" customHeight="1" thickBot="1">
      <c r="A85" s="1288"/>
      <c r="B85" s="1288"/>
      <c r="C85" s="1288"/>
      <c r="D85" s="1288"/>
      <c r="E85" s="1288"/>
      <c r="F85" s="1288"/>
      <c r="G85" s="1288"/>
      <c r="H85" s="1288"/>
      <c r="I85" s="1288"/>
      <c r="J85" s="1288"/>
      <c r="K85" s="1288"/>
      <c r="L85" s="1288"/>
      <c r="M85" s="1288"/>
      <c r="N85" s="1548"/>
      <c r="Q85" s="1291"/>
      <c r="R85" s="1291"/>
      <c r="S85" s="1291"/>
      <c r="T85" s="1292"/>
      <c r="AX85" s="1527"/>
      <c r="AY85" s="1527"/>
      <c r="AZ85" s="1527"/>
      <c r="BA85" s="1527"/>
    </row>
    <row r="86" spans="1:53" s="1296" customFormat="1" ht="409.6" thickTop="1" thickBot="1">
      <c r="A86" s="1288"/>
      <c r="B86" s="1288"/>
      <c r="C86" s="1288"/>
      <c r="D86" s="1288"/>
      <c r="E86" s="1288"/>
      <c r="F86" s="1288"/>
      <c r="G86" s="1288"/>
      <c r="H86" s="1288"/>
      <c r="I86" s="1288"/>
      <c r="J86" s="1288"/>
      <c r="K86" s="1288"/>
      <c r="L86" s="1288"/>
      <c r="M86" s="1288"/>
      <c r="O86" s="1549"/>
      <c r="P86" s="1291"/>
      <c r="Q86" s="1291"/>
      <c r="R86" s="1291"/>
      <c r="S86" s="1527"/>
      <c r="T86" s="1292"/>
      <c r="AX86" s="1527"/>
      <c r="AY86" s="1540" t="s">
        <v>214</v>
      </c>
      <c r="AZ86" s="1541">
        <f>+BA86/1000000</f>
        <v>89.639951530000005</v>
      </c>
      <c r="BA86" s="1542">
        <v>89639951.530000001</v>
      </c>
    </row>
    <row r="87" spans="1:53" s="1296" customFormat="1" ht="48" thickTop="1" thickBot="1">
      <c r="A87" s="1288"/>
      <c r="B87" s="1288"/>
      <c r="C87" s="1288"/>
      <c r="D87" s="1288"/>
      <c r="E87" s="1288"/>
      <c r="F87" s="1288"/>
      <c r="G87" s="1288"/>
      <c r="H87" s="1288"/>
      <c r="I87" s="1288"/>
      <c r="J87" s="1288"/>
      <c r="K87" s="1288"/>
      <c r="L87" s="1288"/>
      <c r="M87" s="1288"/>
      <c r="O87" s="1536" t="s">
        <v>196</v>
      </c>
      <c r="P87" s="1537" t="s">
        <v>197</v>
      </c>
      <c r="Q87" s="1537" t="s">
        <v>198</v>
      </c>
      <c r="R87" s="1537" t="s">
        <v>199</v>
      </c>
      <c r="S87" s="320" t="s">
        <v>200</v>
      </c>
      <c r="T87" s="1236"/>
      <c r="AX87" s="1527"/>
      <c r="AY87" s="1540"/>
      <c r="AZ87" s="1541"/>
      <c r="BA87" s="1542"/>
    </row>
    <row r="88" spans="1:53" s="1296" customFormat="1" ht="48" thickTop="1" thickBot="1">
      <c r="A88" s="1288"/>
      <c r="B88" s="1288"/>
      <c r="C88" s="1288"/>
      <c r="D88" s="1288"/>
      <c r="E88" s="1288"/>
      <c r="F88" s="1288"/>
      <c r="G88" s="1288"/>
      <c r="H88" s="1288"/>
      <c r="I88" s="1288"/>
      <c r="J88" s="1288"/>
      <c r="K88" s="1288"/>
      <c r="L88" s="1288"/>
      <c r="M88" s="1288"/>
      <c r="O88" s="1538" t="s">
        <v>201</v>
      </c>
      <c r="P88" s="1539">
        <v>40909</v>
      </c>
      <c r="Q88" s="1539">
        <v>41639</v>
      </c>
      <c r="R88" s="1539" t="s">
        <v>202</v>
      </c>
      <c r="S88" s="323">
        <v>181.34</v>
      </c>
      <c r="T88" s="1236"/>
      <c r="AX88" s="1527"/>
      <c r="AY88" s="1540"/>
      <c r="AZ88" s="1541"/>
      <c r="BA88" s="1542"/>
    </row>
    <row r="89" spans="1:53" s="1296" customFormat="1" ht="48" thickTop="1" thickBot="1">
      <c r="A89" s="1288"/>
      <c r="B89" s="1288"/>
      <c r="C89" s="1288"/>
      <c r="D89" s="1288"/>
      <c r="E89" s="1288"/>
      <c r="F89" s="1288"/>
      <c r="G89" s="1288"/>
      <c r="H89" s="1288"/>
      <c r="I89" s="1288"/>
      <c r="J89" s="1288"/>
      <c r="K89" s="1288"/>
      <c r="L89" s="1288"/>
      <c r="M89" s="1288"/>
      <c r="O89" s="1538" t="s">
        <v>203</v>
      </c>
      <c r="P89" s="1539">
        <v>41640</v>
      </c>
      <c r="Q89" s="1539">
        <v>42735</v>
      </c>
      <c r="R89" s="1539" t="s">
        <v>204</v>
      </c>
      <c r="S89" s="323">
        <v>201.34</v>
      </c>
      <c r="T89" s="1236"/>
      <c r="AX89" s="1527"/>
      <c r="AY89" s="1540"/>
      <c r="AZ89" s="1541"/>
      <c r="BA89" s="1542"/>
    </row>
    <row r="90" spans="1:53" s="1296" customFormat="1" ht="48" thickTop="1" thickBot="1">
      <c r="A90" s="1288"/>
      <c r="B90" s="1288"/>
      <c r="C90" s="1288"/>
      <c r="D90" s="1288"/>
      <c r="E90" s="1288"/>
      <c r="F90" s="1288"/>
      <c r="G90" s="1288"/>
      <c r="H90" s="1288"/>
      <c r="I90" s="1288"/>
      <c r="J90" s="1288"/>
      <c r="K90" s="1288"/>
      <c r="L90" s="1288"/>
      <c r="M90" s="1288"/>
      <c r="O90" s="1538" t="s">
        <v>205</v>
      </c>
      <c r="P90" s="1539">
        <v>42736</v>
      </c>
      <c r="Q90" s="1539">
        <v>43131</v>
      </c>
      <c r="R90" s="1539" t="s">
        <v>206</v>
      </c>
      <c r="S90" s="323">
        <v>216.38</v>
      </c>
      <c r="T90" s="1236"/>
      <c r="AX90" s="1527"/>
      <c r="AY90" s="1540"/>
      <c r="AZ90" s="1541"/>
      <c r="BA90" s="1542"/>
    </row>
    <row r="91" spans="1:53" s="1296" customFormat="1" ht="157.5" customHeight="1" thickTop="1" thickBot="1">
      <c r="A91" s="1288"/>
      <c r="B91" s="1288"/>
      <c r="C91" s="1288"/>
      <c r="D91" s="1288"/>
      <c r="E91" s="1288"/>
      <c r="F91" s="1288"/>
      <c r="G91" s="1288"/>
      <c r="H91" s="1288"/>
      <c r="I91" s="1288"/>
      <c r="J91" s="1288"/>
      <c r="K91" s="1288"/>
      <c r="L91" s="1288"/>
      <c r="M91" s="1288"/>
      <c r="O91" s="1538" t="s">
        <v>207</v>
      </c>
      <c r="P91" s="1539">
        <v>43132</v>
      </c>
      <c r="Q91" s="1539">
        <v>43921</v>
      </c>
      <c r="R91" s="1539" t="s">
        <v>208</v>
      </c>
      <c r="S91" s="323">
        <v>220.38</v>
      </c>
      <c r="T91" s="1236"/>
      <c r="AX91" s="1527"/>
      <c r="AY91" s="1540"/>
      <c r="AZ91" s="1541"/>
      <c r="BA91" s="1542"/>
    </row>
    <row r="92" spans="1:53" s="1296" customFormat="1" ht="48" thickTop="1" thickBot="1">
      <c r="A92" s="1288"/>
      <c r="B92" s="1288"/>
      <c r="C92" s="1288"/>
      <c r="D92" s="1288"/>
      <c r="E92" s="1288"/>
      <c r="F92" s="1288"/>
      <c r="G92" s="1288"/>
      <c r="H92" s="1288"/>
      <c r="I92" s="1288"/>
      <c r="J92" s="1288"/>
      <c r="K92" s="1288"/>
      <c r="L92" s="1288"/>
      <c r="M92" s="1288"/>
      <c r="O92" s="1538" t="s">
        <v>209</v>
      </c>
      <c r="P92" s="1539">
        <v>43922</v>
      </c>
      <c r="Q92" s="1539">
        <v>44561</v>
      </c>
      <c r="R92" s="1539" t="s">
        <v>210</v>
      </c>
      <c r="S92" s="323">
        <v>237.38</v>
      </c>
      <c r="T92" s="1236"/>
      <c r="AX92" s="1527"/>
      <c r="AY92" s="1540"/>
      <c r="AZ92" s="1541"/>
      <c r="BA92" s="1542"/>
    </row>
    <row r="93" spans="1:53" s="1296" customFormat="1" ht="76.5" customHeight="1" thickTop="1" thickBot="1">
      <c r="A93" s="1288"/>
      <c r="B93" s="1288"/>
      <c r="C93" s="1288"/>
      <c r="D93" s="1288"/>
      <c r="E93" s="1288"/>
      <c r="F93" s="1288"/>
      <c r="G93" s="1288"/>
      <c r="H93" s="1288"/>
      <c r="I93" s="1288"/>
      <c r="J93" s="1288"/>
      <c r="K93" s="1288"/>
      <c r="L93" s="1288"/>
      <c r="M93" s="1288"/>
      <c r="O93" s="1538" t="s">
        <v>211</v>
      </c>
      <c r="P93" s="1539">
        <v>44562</v>
      </c>
      <c r="Q93" s="1539" t="s">
        <v>212</v>
      </c>
      <c r="R93" s="1539" t="s">
        <v>213</v>
      </c>
      <c r="S93" s="323">
        <v>259.43</v>
      </c>
      <c r="T93" s="1236"/>
      <c r="U93" s="268"/>
      <c r="AX93" s="1527"/>
      <c r="AY93" s="1540" t="s">
        <v>215</v>
      </c>
      <c r="AZ93" s="1541">
        <f>+BA93/1000000</f>
        <v>47523.075413729995</v>
      </c>
      <c r="BA93" s="1542">
        <v>47523075413.729996</v>
      </c>
    </row>
    <row r="94" spans="1:53" s="1296" customFormat="1" ht="76.5" customHeight="1" thickTop="1" thickBot="1">
      <c r="A94" s="1288"/>
      <c r="B94" s="1288"/>
      <c r="C94" s="1288"/>
      <c r="D94" s="1288"/>
      <c r="E94" s="1288"/>
      <c r="F94" s="1288"/>
      <c r="G94" s="1288"/>
      <c r="H94" s="1288"/>
      <c r="I94" s="1288"/>
      <c r="J94" s="1288"/>
      <c r="K94" s="1288"/>
      <c r="L94" s="1288"/>
      <c r="M94" s="1288"/>
      <c r="O94" s="1588"/>
      <c r="P94" s="1589"/>
      <c r="Q94" s="1589"/>
      <c r="R94" s="1589"/>
      <c r="S94" s="1590"/>
      <c r="T94" s="1236"/>
      <c r="U94" s="268"/>
      <c r="AX94" s="1527"/>
      <c r="AY94" s="1540" t="s">
        <v>216</v>
      </c>
      <c r="AZ94" s="1541">
        <f>+BA94/1000000</f>
        <v>70397.902073009987</v>
      </c>
      <c r="BA94" s="1543">
        <v>70397902073.009995</v>
      </c>
    </row>
    <row r="95" spans="1:53" s="1296" customFormat="1" ht="76.5" customHeight="1" thickTop="1" thickBot="1">
      <c r="A95" s="1288"/>
      <c r="B95" s="1288"/>
      <c r="C95" s="1288"/>
      <c r="D95" s="1288"/>
      <c r="E95" s="1288"/>
      <c r="F95" s="1288"/>
      <c r="G95" s="1288"/>
      <c r="H95" s="1288"/>
      <c r="I95" s="1288"/>
      <c r="J95" s="1288"/>
      <c r="K95" s="1288"/>
      <c r="L95" s="1288"/>
      <c r="M95" s="1288"/>
      <c r="O95" s="1588"/>
      <c r="P95" s="1589"/>
      <c r="Q95" s="1589"/>
      <c r="R95" s="1589"/>
      <c r="S95" s="1590"/>
      <c r="T95" s="1236"/>
      <c r="U95" s="268"/>
      <c r="AX95" s="1527"/>
      <c r="AY95" s="1540" t="s">
        <v>217</v>
      </c>
      <c r="AZ95" s="1541">
        <f>+BA95/1000000</f>
        <v>133045.07545388001</v>
      </c>
      <c r="BA95" s="1542">
        <v>133045075453.88</v>
      </c>
    </row>
    <row r="96" spans="1:53" s="1296" customFormat="1" ht="47.25" thickTop="1">
      <c r="A96" s="1288"/>
      <c r="B96" s="1288"/>
      <c r="C96" s="1288"/>
      <c r="D96" s="1288"/>
      <c r="E96" s="1288"/>
      <c r="F96" s="1288"/>
      <c r="G96" s="1288"/>
      <c r="H96" s="1288"/>
      <c r="I96" s="1288"/>
      <c r="J96" s="1288"/>
      <c r="K96" s="1288"/>
      <c r="L96" s="1288"/>
      <c r="M96" s="1288"/>
      <c r="O96" s="1588"/>
      <c r="P96" s="1589"/>
      <c r="Q96" s="1589"/>
      <c r="R96" s="1589"/>
      <c r="S96" s="1590"/>
      <c r="T96" s="1236"/>
      <c r="U96" s="268"/>
      <c r="AX96" s="1527"/>
      <c r="AY96" s="1527"/>
      <c r="AZ96" s="1527"/>
      <c r="BA96" s="1527"/>
    </row>
    <row r="97" spans="1:53" s="1296" customFormat="1" ht="46.5">
      <c r="A97" s="1288"/>
      <c r="B97" s="1288"/>
      <c r="C97" s="1288"/>
      <c r="D97" s="1288"/>
      <c r="E97" s="1288"/>
      <c r="F97" s="1288"/>
      <c r="G97" s="1288"/>
      <c r="H97" s="1288"/>
      <c r="I97" s="1288"/>
      <c r="J97" s="1288"/>
      <c r="K97" s="1288"/>
      <c r="L97" s="1288"/>
      <c r="M97" s="1288"/>
      <c r="O97" s="1588"/>
      <c r="P97" s="1589"/>
      <c r="Q97" s="1589"/>
      <c r="R97" s="1589"/>
      <c r="S97" s="1590"/>
      <c r="T97" s="1236"/>
      <c r="U97" s="268"/>
      <c r="AX97" s="520"/>
      <c r="AY97" s="520"/>
      <c r="AZ97" s="520"/>
      <c r="BA97" s="520"/>
    </row>
    <row r="98" spans="1:53" s="1296" customFormat="1" ht="46.5">
      <c r="A98" s="1288"/>
      <c r="B98" s="1288"/>
      <c r="C98" s="1288"/>
      <c r="D98" s="1288"/>
      <c r="E98" s="1288"/>
      <c r="F98" s="1288"/>
      <c r="G98" s="1288"/>
      <c r="H98" s="1288"/>
      <c r="I98" s="1288"/>
      <c r="J98" s="1288"/>
      <c r="K98" s="1288"/>
      <c r="L98" s="1288"/>
      <c r="M98" s="1288"/>
      <c r="O98" s="1588"/>
      <c r="P98" s="1589"/>
      <c r="Q98" s="1589"/>
      <c r="R98" s="1589"/>
      <c r="S98" s="1590"/>
      <c r="T98" s="1236"/>
      <c r="U98" s="268"/>
    </row>
    <row r="99" spans="1:53" s="1296" customFormat="1" ht="169.5" customHeight="1">
      <c r="A99" s="1288"/>
      <c r="B99" s="1288"/>
      <c r="C99" s="1288"/>
      <c r="D99" s="1288"/>
      <c r="E99" s="1288"/>
      <c r="F99" s="1288"/>
      <c r="G99" s="1288"/>
      <c r="H99" s="1288"/>
      <c r="I99" s="1288"/>
      <c r="J99" s="1288"/>
      <c r="K99" s="1288"/>
      <c r="L99" s="1288"/>
      <c r="M99" s="1288"/>
      <c r="O99" s="1588"/>
      <c r="P99" s="1589"/>
      <c r="Q99" s="1589"/>
      <c r="R99" s="1589"/>
      <c r="S99" s="1590"/>
      <c r="T99" s="1236"/>
      <c r="U99" s="268"/>
    </row>
    <row r="100" spans="1:53" s="1296" customFormat="1" ht="85.5" customHeight="1">
      <c r="A100" s="1288"/>
      <c r="B100" s="1288"/>
      <c r="C100" s="1288"/>
      <c r="D100" s="1288"/>
      <c r="E100" s="1288"/>
      <c r="F100" s="1288"/>
      <c r="G100" s="1288"/>
      <c r="H100" s="1288"/>
      <c r="I100" s="1288"/>
      <c r="J100" s="1288"/>
      <c r="K100" s="1288"/>
      <c r="L100" s="1288"/>
      <c r="M100" s="1288"/>
      <c r="O100" s="1588"/>
      <c r="P100" s="1589"/>
      <c r="Q100" s="1589"/>
      <c r="R100" s="1589"/>
      <c r="S100" s="1590"/>
      <c r="T100" s="1236"/>
      <c r="U100" s="268"/>
    </row>
    <row r="101" spans="1:53" s="1296" customFormat="1" ht="98.25" customHeight="1">
      <c r="A101" s="1288"/>
      <c r="B101" s="1288"/>
      <c r="C101" s="1288"/>
      <c r="D101" s="1288"/>
      <c r="E101" s="1288"/>
      <c r="F101" s="1288"/>
      <c r="G101" s="1288"/>
      <c r="H101" s="1288"/>
      <c r="I101" s="1288"/>
      <c r="J101" s="1288"/>
      <c r="K101" s="1288"/>
      <c r="L101" s="1288"/>
      <c r="M101" s="1288"/>
      <c r="O101" s="1588"/>
      <c r="P101" s="1589"/>
      <c r="Q101" s="1589"/>
      <c r="R101" s="1589"/>
      <c r="S101" s="1590"/>
      <c r="T101" s="1236"/>
      <c r="U101" s="268"/>
    </row>
    <row r="102" spans="1:53" s="1296" customFormat="1" ht="136.5" customHeight="1">
      <c r="A102" s="1288"/>
      <c r="B102" s="1288"/>
      <c r="C102" s="1288"/>
      <c r="D102" s="1288"/>
      <c r="E102" s="1288"/>
      <c r="F102" s="1288"/>
      <c r="G102" s="1288"/>
      <c r="H102" s="1288"/>
      <c r="I102" s="1288"/>
      <c r="J102" s="1288"/>
      <c r="K102" s="1288"/>
      <c r="L102" s="1288"/>
      <c r="M102" s="1288"/>
      <c r="O102" s="1527"/>
      <c r="P102" s="1527"/>
      <c r="Q102" s="1527"/>
      <c r="R102" s="1527"/>
      <c r="S102" s="1527"/>
      <c r="T102" s="1236"/>
      <c r="U102" s="268"/>
    </row>
    <row r="103" spans="1:53" s="1296" customFormat="1">
      <c r="A103" s="1288"/>
      <c r="B103" s="1288"/>
      <c r="C103" s="1288"/>
      <c r="D103" s="1288"/>
      <c r="E103" s="1288"/>
      <c r="F103" s="1288"/>
      <c r="G103" s="1288"/>
      <c r="H103" s="1288"/>
      <c r="I103" s="1288"/>
      <c r="J103" s="1288"/>
      <c r="K103" s="1288"/>
      <c r="L103" s="1288"/>
      <c r="M103" s="1288"/>
      <c r="O103" s="1527"/>
      <c r="P103" s="1527"/>
      <c r="Q103" s="1527"/>
      <c r="R103" s="1527"/>
      <c r="S103" s="1527"/>
      <c r="T103" s="1236"/>
      <c r="U103" s="268"/>
    </row>
    <row r="104" spans="1:53" s="1296" customFormat="1">
      <c r="A104" s="307"/>
      <c r="B104" s="307"/>
      <c r="C104" s="307"/>
      <c r="D104" s="307"/>
      <c r="E104" s="307"/>
      <c r="F104" s="307"/>
      <c r="G104" s="307"/>
      <c r="H104" s="307"/>
      <c r="I104" s="307"/>
      <c r="J104" s="307"/>
      <c r="K104" s="307"/>
      <c r="L104" s="307"/>
      <c r="M104" s="307"/>
      <c r="N104" s="268"/>
      <c r="O104" s="1527"/>
      <c r="P104" s="1527"/>
      <c r="Q104" s="1527"/>
      <c r="R104" s="1527"/>
      <c r="S104" s="1527"/>
      <c r="T104" s="1236"/>
      <c r="U104" s="268"/>
    </row>
    <row r="105" spans="1:53" s="1296" customFormat="1" ht="166.5" customHeight="1">
      <c r="A105" s="307"/>
      <c r="B105" s="307"/>
      <c r="C105" s="307"/>
      <c r="D105" s="307"/>
      <c r="E105" s="307"/>
      <c r="F105" s="307"/>
      <c r="G105" s="307"/>
      <c r="H105" s="307"/>
      <c r="I105" s="307"/>
      <c r="J105" s="307"/>
      <c r="K105" s="307"/>
      <c r="L105" s="307"/>
      <c r="M105" s="307"/>
      <c r="N105" s="268"/>
      <c r="O105" s="1527"/>
      <c r="P105" s="1527"/>
      <c r="Q105" s="1527"/>
      <c r="R105" s="1527"/>
      <c r="S105" s="1527"/>
      <c r="T105" s="1236"/>
      <c r="U105" s="268"/>
    </row>
    <row r="106" spans="1:53" s="1296" customFormat="1">
      <c r="A106" s="307"/>
      <c r="B106" s="307"/>
      <c r="C106" s="307"/>
      <c r="D106" s="307"/>
      <c r="E106" s="307"/>
      <c r="F106" s="307"/>
      <c r="G106" s="307"/>
      <c r="H106" s="307"/>
      <c r="I106" s="307"/>
      <c r="J106" s="307"/>
      <c r="K106" s="307"/>
      <c r="L106" s="307"/>
      <c r="M106" s="307"/>
      <c r="N106" s="268"/>
      <c r="O106" s="1527"/>
      <c r="P106" s="1527"/>
      <c r="Q106" s="1527"/>
      <c r="R106" s="1527"/>
      <c r="S106" s="1527"/>
      <c r="T106" s="1236"/>
      <c r="U106" s="268"/>
    </row>
    <row r="107" spans="1:53" s="1296" customFormat="1">
      <c r="A107" s="307"/>
      <c r="B107" s="307"/>
      <c r="C107" s="307"/>
      <c r="D107" s="307"/>
      <c r="E107" s="307"/>
      <c r="F107" s="307"/>
      <c r="G107" s="307"/>
      <c r="H107" s="307"/>
      <c r="I107" s="307"/>
      <c r="J107" s="307"/>
      <c r="K107" s="307"/>
      <c r="L107" s="307"/>
      <c r="M107" s="307"/>
      <c r="N107" s="268"/>
      <c r="O107" s="1527"/>
      <c r="P107" s="1527"/>
      <c r="Q107" s="1527"/>
      <c r="R107" s="1527"/>
      <c r="S107" s="1527"/>
      <c r="T107" s="1236"/>
      <c r="U107" s="268"/>
    </row>
    <row r="108" spans="1:53" s="1296" customFormat="1">
      <c r="A108" s="307"/>
      <c r="B108" s="307"/>
      <c r="C108" s="307"/>
      <c r="D108" s="307"/>
      <c r="E108" s="307"/>
      <c r="F108" s="307"/>
      <c r="G108" s="307"/>
      <c r="H108" s="307"/>
      <c r="I108" s="307"/>
      <c r="J108" s="307"/>
      <c r="K108" s="307"/>
      <c r="L108" s="307"/>
      <c r="M108" s="307"/>
      <c r="N108" s="268"/>
      <c r="O108" s="1527"/>
      <c r="P108" s="1527"/>
      <c r="Q108" s="1527"/>
      <c r="R108" s="1527"/>
      <c r="S108" s="1527"/>
      <c r="T108" s="1236"/>
      <c r="U108" s="268"/>
    </row>
    <row r="109" spans="1:53" s="1296" customFormat="1">
      <c r="A109" s="307"/>
      <c r="B109" s="307"/>
      <c r="C109" s="307"/>
      <c r="D109" s="307"/>
      <c r="E109" s="307"/>
      <c r="F109" s="307"/>
      <c r="G109" s="307"/>
      <c r="H109" s="307"/>
      <c r="I109" s="307"/>
      <c r="J109" s="307"/>
      <c r="K109" s="307"/>
      <c r="L109" s="307"/>
      <c r="M109" s="307"/>
      <c r="N109" s="268"/>
      <c r="O109" s="1527"/>
      <c r="P109" s="1527"/>
      <c r="Q109" s="1527"/>
      <c r="R109" s="1527"/>
      <c r="S109" s="1527"/>
      <c r="T109" s="1236"/>
      <c r="U109" s="268"/>
      <c r="V109" s="268"/>
    </row>
    <row r="110" spans="1:53" s="1296" customFormat="1">
      <c r="A110" s="307"/>
      <c r="B110" s="307"/>
      <c r="C110" s="307"/>
      <c r="D110" s="307"/>
      <c r="E110" s="307"/>
      <c r="F110" s="307"/>
      <c r="G110" s="307"/>
      <c r="H110" s="307"/>
      <c r="I110" s="307"/>
      <c r="J110" s="307"/>
      <c r="K110" s="307"/>
      <c r="L110" s="307"/>
      <c r="M110" s="307"/>
      <c r="N110" s="268"/>
      <c r="O110" s="1527"/>
      <c r="P110" s="1527"/>
      <c r="Q110" s="1527"/>
      <c r="R110" s="1527"/>
      <c r="S110" s="1527"/>
      <c r="T110" s="1236"/>
      <c r="U110" s="268"/>
      <c r="V110" s="268"/>
    </row>
  </sheetData>
  <mergeCells count="8">
    <mergeCell ref="O47:R47"/>
    <mergeCell ref="G58:M58"/>
    <mergeCell ref="A12:E12"/>
    <mergeCell ref="A1:M1"/>
    <mergeCell ref="C22:D22"/>
    <mergeCell ref="A24:E24"/>
    <mergeCell ref="O29:R29"/>
    <mergeCell ref="C5:F5"/>
  </mergeCells>
  <pageMargins left="0.70866141732283472" right="0.70866141732283472" top="0.74803149606299213" bottom="0.74803149606299213" header="0.31496062992125984" footer="0.31496062992125984"/>
  <pageSetup paperSize="9" scale="17" fitToHeight="0" orientation="landscape" r:id="rId1"/>
  <rowBreaks count="2" manualBreakCount="2">
    <brk id="37" max="12" man="1"/>
    <brk id="76" max="12"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5">
    <tabColor rgb="FF00B0F0"/>
    <pageSetUpPr fitToPage="1"/>
  </sheetPr>
  <dimension ref="A1:Q31"/>
  <sheetViews>
    <sheetView showGridLines="0" view="pageBreakPreview" zoomScale="85" zoomScaleNormal="66" zoomScaleSheetLayoutView="85" workbookViewId="0">
      <selection activeCell="E6" sqref="E6"/>
    </sheetView>
  </sheetViews>
  <sheetFormatPr defaultColWidth="11.5703125" defaultRowHeight="14.25"/>
  <cols>
    <col min="1" max="1" width="27.7109375" style="307" customWidth="1"/>
    <col min="2" max="2" width="18.5703125" style="307" customWidth="1"/>
    <col min="3" max="3" width="24.85546875" style="307" customWidth="1"/>
    <col min="4" max="4" width="20.85546875" style="307" bestFit="1" customWidth="1"/>
    <col min="5" max="5" width="16.5703125" style="307" customWidth="1"/>
    <col min="6" max="6" width="12" style="307" bestFit="1" customWidth="1"/>
    <col min="7" max="16" width="7.85546875" style="307" customWidth="1"/>
    <col min="17" max="17" width="29.42578125" style="307" customWidth="1"/>
    <col min="18" max="16384" width="11.5703125" style="307"/>
  </cols>
  <sheetData>
    <row r="1" spans="1:17" s="541" customFormat="1" ht="33.75" customHeight="1">
      <c r="A1" s="2291" t="s">
        <v>997</v>
      </c>
      <c r="B1" s="2292"/>
      <c r="C1" s="2292"/>
      <c r="D1" s="2292"/>
      <c r="E1" s="2292"/>
      <c r="F1" s="2292"/>
      <c r="G1" s="2292"/>
      <c r="H1" s="2292"/>
      <c r="I1" s="2292"/>
      <c r="J1" s="2292"/>
      <c r="K1" s="2292"/>
      <c r="L1" s="2292"/>
      <c r="M1" s="2292"/>
      <c r="N1" s="1895"/>
      <c r="O1" s="1895"/>
      <c r="P1" s="1895"/>
    </row>
    <row r="2" spans="1:17" s="541" customFormat="1" ht="22.5" customHeight="1">
      <c r="A2" s="2291" t="s">
        <v>998</v>
      </c>
      <c r="B2" s="2292"/>
      <c r="C2" s="2292"/>
      <c r="D2" s="2292"/>
      <c r="E2" s="2292"/>
      <c r="F2" s="2292"/>
      <c r="G2" s="2292"/>
      <c r="H2" s="2292"/>
      <c r="I2" s="2292"/>
      <c r="J2" s="2292"/>
      <c r="K2" s="2292"/>
      <c r="L2" s="2292"/>
      <c r="M2" s="2292"/>
      <c r="N2" s="1895"/>
      <c r="O2" s="1895"/>
      <c r="P2" s="1895"/>
      <c r="Q2" s="1112"/>
    </row>
    <row r="3" spans="1:17" ht="9.75" customHeight="1">
      <c r="A3" s="401"/>
      <c r="B3" s="401"/>
      <c r="C3" s="401"/>
      <c r="D3" s="401"/>
      <c r="E3" s="401"/>
      <c r="F3" s="401"/>
      <c r="G3" s="401"/>
      <c r="H3" s="401"/>
      <c r="I3" s="401"/>
      <c r="J3" s="401"/>
      <c r="K3" s="401"/>
      <c r="L3" s="401"/>
      <c r="M3" s="401"/>
      <c r="N3" s="401"/>
      <c r="O3" s="401"/>
      <c r="P3" s="401"/>
      <c r="Q3" s="448"/>
    </row>
    <row r="4" spans="1:17" s="402" customFormat="1" ht="18">
      <c r="A4" s="870" t="s">
        <v>999</v>
      </c>
      <c r="B4" s="1762" t="s">
        <v>594</v>
      </c>
      <c r="C4" s="1780" t="s">
        <v>1000</v>
      </c>
      <c r="D4" s="870" t="s">
        <v>235</v>
      </c>
      <c r="E4" s="585"/>
      <c r="F4" s="585"/>
      <c r="G4" s="585"/>
      <c r="H4" s="585"/>
      <c r="I4" s="585"/>
      <c r="J4" s="585"/>
      <c r="K4" s="585"/>
      <c r="L4" s="585"/>
      <c r="M4" s="585"/>
      <c r="N4" s="585"/>
      <c r="O4" s="585"/>
      <c r="P4" s="585"/>
      <c r="Q4" s="1113"/>
    </row>
    <row r="5" spans="1:17" s="329" customFormat="1" ht="14.25" customHeight="1">
      <c r="A5" s="871" t="s">
        <v>1001</v>
      </c>
      <c r="B5" s="872">
        <v>95789846011.039993</v>
      </c>
      <c r="C5" s="872">
        <f>+'Resumen '!E89</f>
        <v>32478103402.549999</v>
      </c>
      <c r="D5" s="873">
        <f>SUM(B5:C5)</f>
        <v>128267949413.59</v>
      </c>
      <c r="E5" s="585"/>
      <c r="F5" s="585"/>
      <c r="G5" s="585"/>
      <c r="H5" s="585"/>
      <c r="I5" s="585"/>
      <c r="J5" s="585"/>
      <c r="K5" s="585"/>
      <c r="L5" s="585"/>
      <c r="M5" s="585"/>
      <c r="N5" s="585"/>
      <c r="O5" s="585"/>
      <c r="P5" s="585"/>
      <c r="Q5" s="1114">
        <f>+D5/$D$9</f>
        <v>0.93050274466431715</v>
      </c>
    </row>
    <row r="6" spans="1:17" s="329" customFormat="1" ht="13.5" customHeight="1">
      <c r="A6" s="871" t="s">
        <v>906</v>
      </c>
      <c r="B6" s="872">
        <v>1830903365.76</v>
      </c>
      <c r="C6" s="872">
        <f>+'Resumen '!E90</f>
        <v>620497663.76999998</v>
      </c>
      <c r="D6" s="873">
        <f t="shared" ref="D6:D8" si="0">SUM(B6:C6)</f>
        <v>2451401029.5299997</v>
      </c>
      <c r="E6" s="585"/>
      <c r="F6" s="585"/>
      <c r="G6" s="585"/>
      <c r="H6" s="585"/>
      <c r="I6" s="585"/>
      <c r="J6" s="585"/>
      <c r="K6" s="585"/>
      <c r="L6" s="585"/>
      <c r="M6" s="585"/>
      <c r="N6" s="585"/>
      <c r="O6" s="585"/>
      <c r="P6" s="585"/>
      <c r="Q6" s="1114">
        <f>+D6/$D$9</f>
        <v>1.7783362068848368E-2</v>
      </c>
    </row>
    <row r="7" spans="1:17" s="329" customFormat="1" ht="13.5" customHeight="1">
      <c r="A7" s="871" t="s">
        <v>909</v>
      </c>
      <c r="B7" s="872">
        <v>4633981927.1999998</v>
      </c>
      <c r="C7" s="872">
        <f>+'Resumen '!E91</f>
        <v>1600777048.78</v>
      </c>
      <c r="D7" s="873">
        <f t="shared" si="0"/>
        <v>6234758975.9799995</v>
      </c>
      <c r="E7" s="585"/>
      <c r="F7" s="585"/>
      <c r="G7" s="585"/>
      <c r="H7" s="585"/>
      <c r="I7" s="585"/>
      <c r="J7" s="585"/>
      <c r="K7" s="585"/>
      <c r="L7" s="585"/>
      <c r="M7" s="585"/>
      <c r="N7" s="585"/>
      <c r="O7" s="585"/>
      <c r="P7" s="585"/>
      <c r="Q7" s="1114">
        <f>+D7/$D$9</f>
        <v>4.5229228080691623E-2</v>
      </c>
    </row>
    <row r="8" spans="1:17" s="329" customFormat="1" ht="13.5" customHeight="1">
      <c r="A8" s="871" t="s">
        <v>912</v>
      </c>
      <c r="B8" s="872">
        <v>664453531.90999997</v>
      </c>
      <c r="C8" s="872">
        <f>+'Resumen '!E92</f>
        <v>229444643.91999999</v>
      </c>
      <c r="D8" s="873">
        <f t="shared" si="0"/>
        <v>893898175.82999992</v>
      </c>
      <c r="E8" s="585"/>
      <c r="F8" s="585"/>
      <c r="G8" s="585"/>
      <c r="H8" s="585"/>
      <c r="I8" s="585"/>
      <c r="J8" s="585"/>
      <c r="K8" s="585"/>
      <c r="L8" s="585"/>
      <c r="M8" s="585"/>
      <c r="N8" s="585"/>
      <c r="O8" s="585"/>
      <c r="P8" s="585"/>
      <c r="Q8" s="1114">
        <f>+D8/$D$9</f>
        <v>6.4846651861428664E-3</v>
      </c>
    </row>
    <row r="9" spans="1:17" s="329" customFormat="1" ht="18">
      <c r="A9" s="874" t="s">
        <v>919</v>
      </c>
      <c r="B9" s="875">
        <f>SUM(B5:B8)</f>
        <v>102919184835.90999</v>
      </c>
      <c r="C9" s="875">
        <f>SUM(C5:C8)</f>
        <v>34928822759.019997</v>
      </c>
      <c r="D9" s="875">
        <f>SUM(D5:D8)</f>
        <v>137848007594.92999</v>
      </c>
      <c r="E9" s="585"/>
      <c r="F9" s="585"/>
      <c r="G9" s="585"/>
      <c r="H9" s="585"/>
      <c r="I9" s="585"/>
      <c r="J9" s="585"/>
      <c r="K9" s="585"/>
      <c r="L9" s="585"/>
      <c r="M9" s="585"/>
      <c r="N9" s="585"/>
      <c r="O9" s="585"/>
      <c r="P9" s="585"/>
      <c r="Q9" s="1114">
        <f>+D9/$D$9</f>
        <v>1</v>
      </c>
    </row>
    <row r="10" spans="1:17">
      <c r="A10" s="2290" t="s">
        <v>1002</v>
      </c>
      <c r="B10" s="2290"/>
      <c r="C10" s="2290"/>
      <c r="D10" s="2290"/>
      <c r="E10" s="585"/>
      <c r="F10" s="585"/>
      <c r="G10" s="585"/>
      <c r="H10" s="585"/>
      <c r="I10" s="585"/>
      <c r="J10" s="585"/>
      <c r="K10" s="585"/>
      <c r="L10" s="585"/>
      <c r="M10" s="585"/>
      <c r="N10" s="585"/>
      <c r="O10" s="585"/>
      <c r="P10" s="585"/>
      <c r="Q10" s="1115"/>
    </row>
    <row r="11" spans="1:17" ht="15">
      <c r="Q11" s="405"/>
    </row>
    <row r="13" spans="1:17">
      <c r="Q13" s="307">
        <f>102919184835.91-C9</f>
        <v>67990362076.890007</v>
      </c>
    </row>
    <row r="14" spans="1:17" ht="20.25">
      <c r="D14" s="334"/>
      <c r="E14" s="334"/>
      <c r="F14" s="334"/>
      <c r="G14" s="334"/>
      <c r="H14" s="334"/>
      <c r="I14" s="334"/>
      <c r="J14" s="334"/>
      <c r="K14" s="334"/>
      <c r="L14" s="334"/>
      <c r="M14" s="334"/>
      <c r="N14" s="334"/>
      <c r="O14" s="334"/>
      <c r="P14" s="334"/>
    </row>
    <row r="15" spans="1:17">
      <c r="D15" s="339"/>
      <c r="E15" s="339"/>
      <c r="F15" s="339"/>
      <c r="G15" s="339"/>
      <c r="H15" s="339"/>
      <c r="I15" s="339"/>
      <c r="J15" s="339"/>
      <c r="K15" s="339"/>
      <c r="L15" s="339"/>
      <c r="M15" s="339"/>
      <c r="N15" s="339"/>
      <c r="O15" s="339"/>
      <c r="P15" s="339"/>
    </row>
    <row r="16" spans="1:17">
      <c r="D16" s="339"/>
      <c r="E16" s="339"/>
      <c r="F16" s="339"/>
      <c r="G16" s="339"/>
      <c r="H16" s="339"/>
      <c r="I16" s="339"/>
      <c r="J16" s="339"/>
      <c r="K16" s="339"/>
      <c r="L16" s="339"/>
      <c r="M16" s="339"/>
      <c r="N16" s="339"/>
      <c r="O16" s="339"/>
      <c r="P16" s="339"/>
    </row>
    <row r="17" spans="2:17">
      <c r="D17" s="339"/>
      <c r="E17" s="339"/>
      <c r="F17" s="339"/>
      <c r="G17" s="339"/>
      <c r="H17" s="339"/>
      <c r="I17" s="339"/>
      <c r="J17" s="339"/>
      <c r="K17" s="339"/>
      <c r="L17" s="339"/>
      <c r="M17" s="339"/>
      <c r="N17" s="339"/>
      <c r="O17" s="339"/>
      <c r="P17" s="339"/>
    </row>
    <row r="18" spans="2:17">
      <c r="D18" s="339"/>
      <c r="E18" s="339"/>
      <c r="F18" s="339"/>
      <c r="G18" s="339"/>
      <c r="H18" s="339"/>
      <c r="I18" s="339"/>
      <c r="J18" s="339"/>
      <c r="K18" s="339"/>
      <c r="L18" s="339"/>
      <c r="M18" s="339"/>
      <c r="N18" s="339"/>
      <c r="O18" s="339"/>
      <c r="P18" s="339"/>
    </row>
    <row r="19" spans="2:17">
      <c r="B19" s="339"/>
      <c r="C19" s="339"/>
      <c r="D19" s="339"/>
      <c r="E19" s="339"/>
      <c r="F19" s="339"/>
      <c r="G19" s="339"/>
      <c r="H19" s="339"/>
      <c r="I19" s="339"/>
      <c r="J19" s="339"/>
      <c r="K19" s="339"/>
      <c r="L19" s="339"/>
      <c r="M19" s="339"/>
      <c r="N19" s="339"/>
      <c r="O19" s="339"/>
      <c r="P19" s="339"/>
    </row>
    <row r="20" spans="2:17">
      <c r="B20" s="339"/>
      <c r="C20" s="339"/>
      <c r="D20" s="339"/>
      <c r="E20" s="339"/>
      <c r="F20" s="339"/>
      <c r="G20" s="339"/>
      <c r="H20" s="339"/>
      <c r="I20" s="339"/>
      <c r="J20" s="339"/>
      <c r="K20" s="339"/>
      <c r="L20" s="339"/>
      <c r="M20" s="339"/>
      <c r="N20" s="339"/>
      <c r="O20" s="339"/>
      <c r="P20" s="339"/>
    </row>
    <row r="21" spans="2:17">
      <c r="B21" s="339"/>
      <c r="C21" s="339"/>
      <c r="D21" s="339"/>
      <c r="E21" s="339"/>
      <c r="F21" s="339"/>
      <c r="G21" s="339"/>
      <c r="H21" s="339"/>
      <c r="I21" s="339"/>
      <c r="J21" s="339"/>
      <c r="K21" s="339"/>
      <c r="L21" s="339"/>
      <c r="M21" s="339"/>
      <c r="N21" s="339"/>
      <c r="O21" s="339"/>
      <c r="P21" s="339"/>
    </row>
    <row r="22" spans="2:17">
      <c r="B22" s="339"/>
      <c r="C22" s="339"/>
      <c r="D22" s="339"/>
      <c r="E22" s="339"/>
      <c r="F22" s="339"/>
      <c r="G22" s="339"/>
      <c r="H22" s="339"/>
      <c r="I22" s="339"/>
      <c r="J22" s="339"/>
      <c r="K22" s="339"/>
      <c r="L22" s="339"/>
      <c r="M22" s="339"/>
      <c r="N22" s="339"/>
      <c r="O22" s="339"/>
      <c r="P22" s="339"/>
    </row>
    <row r="23" spans="2:17">
      <c r="B23" s="339"/>
      <c r="C23" s="339"/>
      <c r="D23" s="339"/>
      <c r="E23" s="339"/>
      <c r="F23" s="339"/>
      <c r="G23" s="339"/>
      <c r="H23" s="339"/>
      <c r="I23" s="339"/>
      <c r="J23" s="339"/>
      <c r="K23" s="339"/>
      <c r="L23" s="339"/>
      <c r="M23" s="339"/>
      <c r="N23" s="339"/>
      <c r="O23" s="339"/>
      <c r="P23" s="339"/>
    </row>
    <row r="24" spans="2:17">
      <c r="B24" s="339"/>
      <c r="C24" s="339"/>
      <c r="D24" s="339"/>
      <c r="E24" s="339"/>
      <c r="F24" s="339"/>
      <c r="G24" s="339"/>
      <c r="H24" s="339"/>
      <c r="I24" s="339"/>
      <c r="J24" s="339"/>
      <c r="K24" s="339"/>
      <c r="L24" s="339"/>
      <c r="M24" s="339"/>
      <c r="N24" s="339"/>
      <c r="O24" s="339"/>
      <c r="P24" s="339"/>
    </row>
    <row r="25" spans="2:17">
      <c r="B25" s="339"/>
      <c r="C25" s="339"/>
      <c r="D25" s="339"/>
      <c r="E25" s="339"/>
      <c r="F25" s="339"/>
      <c r="G25" s="339"/>
      <c r="H25" s="339"/>
      <c r="I25" s="339"/>
      <c r="J25" s="339"/>
      <c r="K25" s="339"/>
      <c r="L25" s="339"/>
      <c r="M25" s="339"/>
      <c r="N25" s="339"/>
      <c r="O25" s="339"/>
      <c r="P25" s="339"/>
    </row>
    <row r="26" spans="2:17">
      <c r="B26" s="339"/>
      <c r="C26" s="339"/>
      <c r="D26" s="339"/>
      <c r="E26" s="339"/>
      <c r="F26" s="339"/>
      <c r="G26" s="339"/>
      <c r="H26" s="339"/>
      <c r="I26" s="339"/>
      <c r="J26" s="339"/>
      <c r="K26" s="339"/>
      <c r="L26" s="339"/>
      <c r="M26" s="339"/>
      <c r="N26" s="339"/>
      <c r="O26" s="339"/>
      <c r="P26" s="339"/>
    </row>
    <row r="27" spans="2:17">
      <c r="B27" s="339"/>
      <c r="C27" s="339"/>
      <c r="D27" s="339"/>
      <c r="E27" s="339"/>
      <c r="F27" s="339"/>
      <c r="G27" s="339"/>
      <c r="H27" s="339"/>
      <c r="I27" s="339"/>
      <c r="J27" s="339"/>
      <c r="K27" s="339"/>
      <c r="L27" s="339"/>
      <c r="M27" s="339"/>
      <c r="N27" s="339"/>
      <c r="O27" s="339"/>
      <c r="P27" s="339"/>
      <c r="Q27" s="362"/>
    </row>
    <row r="28" spans="2:17">
      <c r="B28" s="339"/>
      <c r="C28" s="339"/>
      <c r="D28" s="339"/>
      <c r="E28" s="339"/>
      <c r="F28" s="339"/>
      <c r="G28" s="339"/>
      <c r="H28" s="339"/>
      <c r="I28" s="339"/>
      <c r="J28" s="339"/>
      <c r="K28" s="339"/>
      <c r="L28" s="339"/>
      <c r="M28" s="339"/>
      <c r="N28" s="339"/>
      <c r="O28" s="339"/>
      <c r="P28" s="339"/>
      <c r="Q28" s="362"/>
    </row>
    <row r="29" spans="2:17">
      <c r="B29" s="339"/>
      <c r="C29" s="339"/>
      <c r="D29" s="339"/>
      <c r="E29" s="339"/>
      <c r="F29" s="339"/>
      <c r="G29" s="339"/>
      <c r="H29" s="339"/>
      <c r="I29" s="339"/>
      <c r="J29" s="339"/>
      <c r="K29" s="339"/>
      <c r="L29" s="339"/>
      <c r="M29" s="339"/>
      <c r="N29" s="339"/>
      <c r="O29" s="339"/>
      <c r="P29" s="339"/>
      <c r="Q29" s="362"/>
    </row>
    <row r="30" spans="2:17">
      <c r="B30" s="339"/>
      <c r="C30" s="339"/>
      <c r="D30" s="339"/>
      <c r="E30" s="339"/>
      <c r="F30" s="339"/>
      <c r="G30" s="339"/>
      <c r="H30" s="339"/>
      <c r="I30" s="339"/>
      <c r="J30" s="339"/>
      <c r="K30" s="339"/>
      <c r="L30" s="339"/>
      <c r="M30" s="339"/>
      <c r="N30" s="339"/>
      <c r="O30" s="339"/>
      <c r="P30" s="339"/>
      <c r="Q30" s="362"/>
    </row>
    <row r="31" spans="2:17">
      <c r="B31" s="339"/>
      <c r="C31" s="339"/>
      <c r="D31" s="339"/>
      <c r="E31" s="339"/>
      <c r="F31" s="339"/>
      <c r="G31" s="339"/>
      <c r="H31" s="339"/>
      <c r="I31" s="339"/>
      <c r="J31" s="339"/>
      <c r="K31" s="339"/>
      <c r="L31" s="339"/>
      <c r="M31" s="339"/>
      <c r="N31" s="339"/>
      <c r="O31" s="339"/>
      <c r="P31" s="339"/>
      <c r="Q31" s="362"/>
    </row>
  </sheetData>
  <mergeCells count="3">
    <mergeCell ref="A10:D10"/>
    <mergeCell ref="A2:M2"/>
    <mergeCell ref="A1:M1"/>
  </mergeCells>
  <conditionalFormatting sqref="B9:D9 B5:C8">
    <cfRule type="cellIs" dxfId="337" priority="2" operator="equal">
      <formula>0</formula>
    </cfRule>
  </conditionalFormatting>
  <pageMargins left="0.70866141732283472" right="0.70866141732283472" top="0.74803149606299213" bottom="0.74803149606299213" header="0.31496062992125984" footer="0.31496062992125984"/>
  <pageSetup paperSize="119" scale="72"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86">
    <tabColor rgb="FF00B0F0"/>
    <pageSetUpPr fitToPage="1"/>
  </sheetPr>
  <dimension ref="A1:J69"/>
  <sheetViews>
    <sheetView showGridLines="0" view="pageBreakPreview" zoomScale="70" zoomScaleNormal="100" zoomScaleSheetLayoutView="70" workbookViewId="0">
      <selection activeCell="H10" sqref="H10"/>
    </sheetView>
  </sheetViews>
  <sheetFormatPr defaultColWidth="11.5703125" defaultRowHeight="14.25"/>
  <cols>
    <col min="1" max="1" width="5.28515625" style="407" customWidth="1"/>
    <col min="2" max="2" width="40" style="307" customWidth="1"/>
    <col min="3" max="3" width="24.85546875" style="354" customWidth="1"/>
    <col min="4" max="4" width="26" style="354" customWidth="1"/>
    <col min="5" max="5" width="26.42578125" style="354" customWidth="1"/>
    <col min="6" max="6" width="28" style="354" customWidth="1"/>
    <col min="7" max="10" width="14.28515625" style="406" customWidth="1"/>
    <col min="11" max="16384" width="11.5703125" style="307"/>
  </cols>
  <sheetData>
    <row r="1" spans="1:10" s="541" customFormat="1" ht="54" customHeight="1">
      <c r="A1" s="2293" t="s">
        <v>1003</v>
      </c>
      <c r="B1" s="2293"/>
      <c r="C1" s="2293"/>
      <c r="D1" s="2293"/>
      <c r="E1" s="2293"/>
      <c r="F1" s="2293"/>
      <c r="G1" s="2293"/>
      <c r="H1" s="2293"/>
      <c r="I1" s="2293"/>
      <c r="J1" s="2293"/>
    </row>
    <row r="2" spans="1:10" s="541" customFormat="1" ht="21.75" customHeight="1">
      <c r="A2" s="2293" t="s">
        <v>1004</v>
      </c>
      <c r="B2" s="2293"/>
      <c r="C2" s="2293"/>
      <c r="D2" s="2293"/>
      <c r="E2" s="2293"/>
      <c r="F2" s="2293"/>
      <c r="G2" s="2293"/>
      <c r="H2" s="2293"/>
      <c r="I2" s="2293"/>
      <c r="J2" s="2293"/>
    </row>
    <row r="3" spans="1:10" ht="15.75" customHeight="1">
      <c r="B3" s="408"/>
      <c r="C3" s="408"/>
      <c r="D3" s="408"/>
      <c r="E3" s="408"/>
      <c r="F3" s="408"/>
    </row>
    <row r="4" spans="1:10" s="533" customFormat="1" ht="34.5" customHeight="1">
      <c r="A4" s="563" t="s">
        <v>4</v>
      </c>
      <c r="B4" s="564" t="s">
        <v>859</v>
      </c>
      <c r="C4" s="832" t="s">
        <v>1005</v>
      </c>
      <c r="D4" s="832" t="s">
        <v>1006</v>
      </c>
      <c r="E4" s="833" t="s">
        <v>594</v>
      </c>
      <c r="F4" s="833" t="s">
        <v>1007</v>
      </c>
      <c r="G4" s="532"/>
      <c r="H4" s="532"/>
      <c r="I4" s="532"/>
      <c r="J4" s="532"/>
    </row>
    <row r="5" spans="1:10" ht="15.75">
      <c r="A5" s="834">
        <v>1</v>
      </c>
      <c r="B5" s="835" t="s">
        <v>860</v>
      </c>
      <c r="C5" s="836">
        <f>SUM(D5:F5)</f>
        <v>78984301567.919998</v>
      </c>
      <c r="D5" s="1249">
        <f>+'Resumen '!M72</f>
        <v>7898982677.7200003</v>
      </c>
      <c r="E5" s="1249">
        <v>24482522096.279999</v>
      </c>
      <c r="F5" s="1249">
        <v>46602796793.919998</v>
      </c>
    </row>
    <row r="6" spans="1:10" ht="15.75">
      <c r="A6" s="834">
        <v>2</v>
      </c>
      <c r="B6" s="835" t="s">
        <v>861</v>
      </c>
      <c r="C6" s="836">
        <f t="shared" ref="C6:C29" si="0">SUM(D6:F6)</f>
        <v>101027098480.34</v>
      </c>
      <c r="D6" s="1249">
        <f>+'Resumen '!M73</f>
        <v>12204346038.09</v>
      </c>
      <c r="E6" s="1249">
        <v>35199822304.790001</v>
      </c>
      <c r="F6" s="1249">
        <v>53622930137.459999</v>
      </c>
    </row>
    <row r="7" spans="1:10" ht="15.75">
      <c r="A7" s="834">
        <v>3</v>
      </c>
      <c r="B7" s="835" t="s">
        <v>1008</v>
      </c>
      <c r="C7" s="836">
        <f t="shared" si="0"/>
        <v>34074020683.290001</v>
      </c>
      <c r="D7" s="1249">
        <f>+'Resumen '!M74</f>
        <v>3365590021.23</v>
      </c>
      <c r="E7" s="1249">
        <v>10412115667.92</v>
      </c>
      <c r="F7" s="1249">
        <v>20296314994.139999</v>
      </c>
    </row>
    <row r="8" spans="1:10" ht="15.75">
      <c r="A8" s="834">
        <v>1</v>
      </c>
      <c r="B8" s="835" t="s">
        <v>867</v>
      </c>
      <c r="C8" s="836">
        <f t="shared" si="0"/>
        <v>18109868672.18</v>
      </c>
      <c r="D8" s="1249">
        <f>+'Resumen '!M75</f>
        <v>1784407976</v>
      </c>
      <c r="E8" s="1249">
        <v>5465473145.6099997</v>
      </c>
      <c r="F8" s="1249">
        <v>10859987550.57</v>
      </c>
    </row>
    <row r="9" spans="1:10" ht="15.75">
      <c r="A9" s="834">
        <v>1</v>
      </c>
      <c r="B9" s="835" t="s">
        <v>870</v>
      </c>
      <c r="C9" s="836">
        <f t="shared" si="0"/>
        <v>9251795854.6900005</v>
      </c>
      <c r="D9" s="1249">
        <f>+'Resumen '!M76</f>
        <v>975052504.16999996</v>
      </c>
      <c r="E9" s="1249">
        <v>2962690093.1900001</v>
      </c>
      <c r="F9" s="1249">
        <v>5314053257.3299999</v>
      </c>
    </row>
    <row r="10" spans="1:10" ht="15.75">
      <c r="A10" s="834">
        <v>1</v>
      </c>
      <c r="B10" s="835" t="s">
        <v>873</v>
      </c>
      <c r="C10" s="836">
        <f t="shared" si="0"/>
        <v>17167594394.73</v>
      </c>
      <c r="D10" s="1249">
        <f>+'Resumen '!M77</f>
        <v>2286130061.0799999</v>
      </c>
      <c r="E10" s="1249">
        <v>6153877282.9099998</v>
      </c>
      <c r="F10" s="1249">
        <v>8727587050.7399998</v>
      </c>
    </row>
    <row r="11" spans="1:10" ht="14.25" customHeight="1">
      <c r="A11" s="834">
        <v>1</v>
      </c>
      <c r="B11" s="835" t="s">
        <v>879</v>
      </c>
      <c r="C11" s="836">
        <f t="shared" si="0"/>
        <v>5382272715.7600002</v>
      </c>
      <c r="D11" s="1249">
        <f>+'Resumen '!M79</f>
        <v>568222027.25</v>
      </c>
      <c r="E11" s="1249">
        <v>1739355840.46</v>
      </c>
      <c r="F11" s="1249">
        <v>3074694848.0500002</v>
      </c>
    </row>
    <row r="12" spans="1:10" ht="15.75">
      <c r="A12" s="834">
        <v>1</v>
      </c>
      <c r="B12" s="835" t="s">
        <v>881</v>
      </c>
      <c r="C12" s="836">
        <f t="shared" si="0"/>
        <v>5198594029.3700008</v>
      </c>
      <c r="D12" s="1249">
        <f>+'Resumen '!M80</f>
        <v>531564283.54000002</v>
      </c>
      <c r="E12" s="1249">
        <v>1693922348.0699999</v>
      </c>
      <c r="F12" s="1249">
        <v>2973107397.7600002</v>
      </c>
    </row>
    <row r="13" spans="1:10" ht="15.75">
      <c r="A13" s="834">
        <v>1</v>
      </c>
      <c r="B13" s="835" t="s">
        <v>884</v>
      </c>
      <c r="C13" s="836">
        <f t="shared" si="0"/>
        <v>6101061518.6900005</v>
      </c>
      <c r="D13" s="1249">
        <f>+'Resumen '!M81</f>
        <v>796691715.95000005</v>
      </c>
      <c r="E13" s="1249">
        <v>2200196901.3800001</v>
      </c>
      <c r="F13" s="1249">
        <v>3104172901.3600001</v>
      </c>
    </row>
    <row r="14" spans="1:10" ht="15.75">
      <c r="A14" s="834">
        <v>1</v>
      </c>
      <c r="B14" s="835" t="s">
        <v>887</v>
      </c>
      <c r="C14" s="836">
        <f t="shared" si="0"/>
        <v>6518807335.6100006</v>
      </c>
      <c r="D14" s="1249">
        <f>+'Resumen '!M82</f>
        <v>765821553.09000003</v>
      </c>
      <c r="E14" s="1249">
        <v>2245322609.54</v>
      </c>
      <c r="F14" s="1249">
        <v>3507663172.98</v>
      </c>
    </row>
    <row r="15" spans="1:10" ht="15.75">
      <c r="A15" s="834">
        <v>1</v>
      </c>
      <c r="B15" s="835" t="s">
        <v>888</v>
      </c>
      <c r="C15" s="836">
        <f t="shared" si="0"/>
        <v>3542691735.5999999</v>
      </c>
      <c r="D15" s="1249">
        <f>+'Resumen '!M83</f>
        <v>585935000.46000004</v>
      </c>
      <c r="E15" s="1249">
        <v>1226177540.3499999</v>
      </c>
      <c r="F15" s="1249">
        <v>1730579194.79</v>
      </c>
    </row>
    <row r="16" spans="1:10" ht="15.75">
      <c r="A16" s="834">
        <v>1</v>
      </c>
      <c r="B16" s="835" t="s">
        <v>892</v>
      </c>
      <c r="C16" s="836">
        <f t="shared" si="0"/>
        <v>1741202877.03</v>
      </c>
      <c r="D16" s="1249">
        <f>+'Resumen '!M84</f>
        <v>142550007.87</v>
      </c>
      <c r="E16" s="1249">
        <v>479762758.66000003</v>
      </c>
      <c r="F16" s="1249">
        <v>1118890110.5</v>
      </c>
    </row>
    <row r="17" spans="1:10" ht="15.75">
      <c r="A17" s="834">
        <v>1</v>
      </c>
      <c r="B17" s="835" t="s">
        <v>895</v>
      </c>
      <c r="C17" s="836">
        <f t="shared" si="0"/>
        <v>1618374163.6300001</v>
      </c>
      <c r="D17" s="1249">
        <f>+'Resumen '!M85</f>
        <v>171135577.59999999</v>
      </c>
      <c r="E17" s="1249">
        <v>491802475.07999998</v>
      </c>
      <c r="F17" s="1249">
        <v>955436110.95000005</v>
      </c>
    </row>
    <row r="18" spans="1:10" ht="15.75">
      <c r="A18" s="834">
        <v>1</v>
      </c>
      <c r="B18" s="835" t="s">
        <v>691</v>
      </c>
      <c r="C18" s="836">
        <f t="shared" si="0"/>
        <v>2575775033.1199999</v>
      </c>
      <c r="D18" s="1249">
        <f>+'Resumen '!M86</f>
        <v>353305327.04000002</v>
      </c>
      <c r="E18" s="1249">
        <v>899820579.77999997</v>
      </c>
      <c r="F18" s="1249">
        <v>1322649126.3</v>
      </c>
    </row>
    <row r="19" spans="1:10" ht="15.75">
      <c r="A19" s="834">
        <v>1</v>
      </c>
      <c r="B19" s="835" t="s">
        <v>898</v>
      </c>
      <c r="C19" s="836">
        <f t="shared" si="0"/>
        <v>2364364759.3199997</v>
      </c>
      <c r="D19" s="1249">
        <f>+'Resumen '!M87</f>
        <v>254730852.94999999</v>
      </c>
      <c r="E19" s="1249">
        <v>775731877.67999995</v>
      </c>
      <c r="F19" s="1249">
        <v>1333902028.6900001</v>
      </c>
    </row>
    <row r="20" spans="1:10" ht="15.75">
      <c r="A20" s="834">
        <v>1</v>
      </c>
      <c r="B20" s="835" t="s">
        <v>905</v>
      </c>
      <c r="C20" s="836">
        <f t="shared" si="0"/>
        <v>2877654915.77</v>
      </c>
      <c r="D20" s="1249">
        <f>+'Resumen '!M89</f>
        <v>361353193.30000001</v>
      </c>
      <c r="E20" s="1249">
        <v>1033992766.58</v>
      </c>
      <c r="F20" s="1249">
        <v>1482308955.8899999</v>
      </c>
      <c r="G20" s="409"/>
      <c r="H20" s="409"/>
      <c r="I20" s="409"/>
      <c r="J20" s="409"/>
    </row>
    <row r="21" spans="1:10" ht="15.75">
      <c r="A21" s="834">
        <v>1</v>
      </c>
      <c r="B21" s="835" t="s">
        <v>914</v>
      </c>
      <c r="C21" s="836">
        <f t="shared" si="0"/>
        <v>485261756.27999997</v>
      </c>
      <c r="D21" s="1249">
        <f>+'Resumen '!M92</f>
        <v>52782248.979999997</v>
      </c>
      <c r="E21" s="1249">
        <v>158163088.52000001</v>
      </c>
      <c r="F21" s="1249">
        <v>274316418.77999997</v>
      </c>
    </row>
    <row r="22" spans="1:10" ht="15.75" hidden="1">
      <c r="A22" s="834">
        <v>22</v>
      </c>
      <c r="B22" s="835" t="s">
        <v>916</v>
      </c>
      <c r="C22" s="836">
        <f t="shared" si="0"/>
        <v>0</v>
      </c>
      <c r="D22" s="1249">
        <f>+'Resumen '!M93</f>
        <v>0</v>
      </c>
      <c r="E22" s="1160">
        <v>0</v>
      </c>
      <c r="F22" s="1160">
        <v>0</v>
      </c>
    </row>
    <row r="23" spans="1:10" ht="15.75" hidden="1">
      <c r="A23" s="834">
        <v>23</v>
      </c>
      <c r="B23" s="835" t="s">
        <v>918</v>
      </c>
      <c r="C23" s="836">
        <f t="shared" si="0"/>
        <v>0</v>
      </c>
      <c r="D23" s="1249">
        <f>+'Resumen '!M94</f>
        <v>0</v>
      </c>
      <c r="E23" s="1160">
        <v>0</v>
      </c>
      <c r="F23" s="1160">
        <v>0</v>
      </c>
    </row>
    <row r="24" spans="1:10" ht="15.75" hidden="1">
      <c r="A24" s="834">
        <v>24</v>
      </c>
      <c r="B24" s="835" t="s">
        <v>920</v>
      </c>
      <c r="C24" s="836">
        <f t="shared" si="0"/>
        <v>0</v>
      </c>
      <c r="D24" s="1249">
        <f>+'Resumen '!M95</f>
        <v>0</v>
      </c>
      <c r="E24" s="1160">
        <v>0</v>
      </c>
      <c r="F24" s="1160">
        <v>0</v>
      </c>
    </row>
    <row r="25" spans="1:10" ht="15.75" hidden="1">
      <c r="A25" s="834">
        <v>25</v>
      </c>
      <c r="B25" s="835" t="s">
        <v>922</v>
      </c>
      <c r="C25" s="836">
        <f t="shared" si="0"/>
        <v>0</v>
      </c>
      <c r="D25" s="1249">
        <f>+'Resumen '!M96</f>
        <v>0</v>
      </c>
      <c r="E25" s="1160">
        <v>0</v>
      </c>
      <c r="F25" s="1160">
        <v>0</v>
      </c>
    </row>
    <row r="26" spans="1:10" ht="15.75" hidden="1">
      <c r="A26" s="834">
        <v>26</v>
      </c>
      <c r="B26" s="835" t="s">
        <v>925</v>
      </c>
      <c r="C26" s="836">
        <f t="shared" si="0"/>
        <v>0</v>
      </c>
      <c r="D26" s="1249">
        <f>+'Resumen '!M97</f>
        <v>0</v>
      </c>
      <c r="E26" s="1160">
        <v>0</v>
      </c>
      <c r="F26" s="1160">
        <v>0</v>
      </c>
    </row>
    <row r="27" spans="1:10" ht="15.75" hidden="1">
      <c r="A27" s="834">
        <v>27</v>
      </c>
      <c r="B27" s="835" t="s">
        <v>927</v>
      </c>
      <c r="C27" s="836">
        <f t="shared" si="0"/>
        <v>0</v>
      </c>
      <c r="D27" s="1249">
        <f>+'Resumen '!M98</f>
        <v>0</v>
      </c>
      <c r="E27" s="1160">
        <v>0</v>
      </c>
      <c r="F27" s="1160">
        <v>0</v>
      </c>
    </row>
    <row r="28" spans="1:10" ht="15.75" hidden="1">
      <c r="A28" s="834">
        <v>28</v>
      </c>
      <c r="B28" s="835" t="s">
        <v>930</v>
      </c>
      <c r="C28" s="836">
        <f t="shared" si="0"/>
        <v>0</v>
      </c>
      <c r="D28" s="1249">
        <f>+'Resumen '!M99</f>
        <v>0</v>
      </c>
      <c r="E28" s="1160">
        <v>0</v>
      </c>
      <c r="F28" s="1160">
        <v>0</v>
      </c>
    </row>
    <row r="29" spans="1:10" ht="15.75" hidden="1">
      <c r="A29" s="834">
        <v>29</v>
      </c>
      <c r="B29" s="835" t="s">
        <v>932</v>
      </c>
      <c r="C29" s="836">
        <f t="shared" si="0"/>
        <v>0</v>
      </c>
      <c r="D29" s="1249">
        <f>+'Resumen '!M100</f>
        <v>0</v>
      </c>
      <c r="E29" s="1160">
        <v>0</v>
      </c>
      <c r="F29" s="1160">
        <v>0</v>
      </c>
    </row>
    <row r="30" spans="1:10" s="410" customFormat="1" ht="18" customHeight="1">
      <c r="A30" s="837" t="s">
        <v>235</v>
      </c>
      <c r="B30" s="838" t="s">
        <v>235</v>
      </c>
      <c r="C30" s="839">
        <f>SUM(C5:C29)</f>
        <v>297020740493.33008</v>
      </c>
      <c r="D30" s="839">
        <f>SUM(D5:D29)</f>
        <v>33098601066.32</v>
      </c>
      <c r="E30" s="839">
        <f>SUM(E5:E29)</f>
        <v>97620749376.800034</v>
      </c>
      <c r="F30" s="839">
        <f>SUM(F5:F29)</f>
        <v>166301390050.21002</v>
      </c>
      <c r="G30" s="411"/>
      <c r="H30" s="411"/>
      <c r="I30" s="411"/>
      <c r="J30" s="411"/>
    </row>
    <row r="31" spans="1:10" ht="5.25" customHeight="1">
      <c r="A31" s="1088"/>
      <c r="B31" s="1089"/>
      <c r="C31" s="1090"/>
      <c r="D31" s="1090"/>
      <c r="E31" s="1090"/>
      <c r="F31" s="1090"/>
    </row>
    <row r="32" spans="1:10">
      <c r="C32" s="1414"/>
      <c r="D32" s="1414"/>
      <c r="E32" s="1414"/>
    </row>
    <row r="52" ht="42.75" customHeight="1"/>
    <row r="65" spans="2:2" ht="15">
      <c r="B65" s="338" t="s">
        <v>1</v>
      </c>
    </row>
    <row r="66" spans="2:2" ht="15">
      <c r="B66" s="338"/>
    </row>
    <row r="67" spans="2:2" ht="15">
      <c r="B67" s="338"/>
    </row>
    <row r="68" spans="2:2" ht="74.25" customHeight="1"/>
    <row r="69" spans="2:2" ht="74.25" customHeight="1"/>
  </sheetData>
  <sortState xmlns:xlrd2="http://schemas.microsoft.com/office/spreadsheetml/2017/richdata2" ref="B4:K32">
    <sortCondition descending="1" ref="C4:C32"/>
  </sortState>
  <mergeCells count="2">
    <mergeCell ref="A1:J1"/>
    <mergeCell ref="A2:J2"/>
  </mergeCells>
  <conditionalFormatting sqref="E22:F29">
    <cfRule type="cellIs" dxfId="328" priority="5" operator="equal">
      <formula>0</formula>
    </cfRule>
  </conditionalFormatting>
  <conditionalFormatting sqref="E22:F29">
    <cfRule type="cellIs" dxfId="327" priority="1" operator="equal">
      <formula>0</formula>
    </cfRule>
  </conditionalFormatting>
  <pageMargins left="0.70866141732283472" right="0.70866141732283472" top="0.74803149606299213" bottom="0.74803149606299213" header="0.31496062992125984" footer="0.31496062992125984"/>
  <pageSetup paperSize="119" scale="42" orientation="portrait"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6">
    <tabColor rgb="FF00B0F0"/>
    <pageSetUpPr fitToPage="1"/>
  </sheetPr>
  <dimension ref="A1:G44"/>
  <sheetViews>
    <sheetView showGridLines="0" view="pageBreakPreview" zoomScale="55" zoomScaleNormal="85" zoomScaleSheetLayoutView="55" workbookViewId="0">
      <selection activeCell="B7" sqref="B7"/>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544" customFormat="1" ht="64.5" customHeight="1">
      <c r="A1" s="2294" t="s">
        <v>1009</v>
      </c>
      <c r="B1" s="2294"/>
      <c r="C1" s="2294"/>
      <c r="D1" s="2294"/>
      <c r="E1" s="540"/>
      <c r="F1" s="540"/>
    </row>
    <row r="2" spans="1:6" s="544" customFormat="1" ht="19.5" customHeight="1">
      <c r="A2" s="2295" t="str">
        <f>+'Resumen '!O3</f>
        <v>Período: Abril 2025</v>
      </c>
      <c r="B2" s="2295"/>
      <c r="C2" s="2295"/>
      <c r="D2" s="2295"/>
      <c r="E2" s="540"/>
      <c r="F2" s="540"/>
    </row>
    <row r="3" spans="1:6" ht="12" customHeight="1">
      <c r="E3"/>
      <c r="F3"/>
    </row>
    <row r="4" spans="1:6" s="522" customFormat="1" ht="24.75" customHeight="1">
      <c r="A4" s="840" t="s">
        <v>1010</v>
      </c>
      <c r="B4" s="841" t="s">
        <v>994</v>
      </c>
      <c r="C4" s="842" t="s">
        <v>266</v>
      </c>
      <c r="D4" s="521"/>
    </row>
    <row r="5" spans="1:6" s="131" customFormat="1" ht="24.75" customHeight="1">
      <c r="A5" s="1129" t="s">
        <v>1011</v>
      </c>
      <c r="B5" s="1781">
        <v>1198918249.05</v>
      </c>
      <c r="C5" s="843">
        <f>+B5/$B$9</f>
        <v>0.49738458599510704</v>
      </c>
      <c r="D5" s="730"/>
    </row>
    <row r="6" spans="1:6" s="131" customFormat="1" ht="20.25">
      <c r="A6" s="1130" t="s">
        <v>1012</v>
      </c>
      <c r="B6" s="1781">
        <v>756526872.90999997</v>
      </c>
      <c r="C6" s="843">
        <f>+B6/$B$9</f>
        <v>0.31385359741973584</v>
      </c>
      <c r="D6" s="147"/>
      <c r="E6" s="130"/>
      <c r="F6" s="130"/>
    </row>
    <row r="7" spans="1:6" s="131" customFormat="1" ht="40.5">
      <c r="A7" s="1132" t="s">
        <v>1013</v>
      </c>
      <c r="B7" s="1781">
        <v>455000000</v>
      </c>
      <c r="C7" s="843">
        <f>+B7/$B$9</f>
        <v>0.18876181658515703</v>
      </c>
      <c r="D7" s="147"/>
      <c r="E7" s="130"/>
      <c r="F7" s="130"/>
    </row>
    <row r="8" spans="1:6" s="131" customFormat="1" ht="20.25" hidden="1">
      <c r="A8" s="1130" t="s">
        <v>1014</v>
      </c>
      <c r="B8" s="1128"/>
      <c r="C8" s="843">
        <f>+B8/$B$9</f>
        <v>0</v>
      </c>
      <c r="D8" s="147"/>
      <c r="E8" s="130"/>
      <c r="F8" s="130"/>
    </row>
    <row r="9" spans="1:6" s="129" customFormat="1" ht="20.25">
      <c r="A9" s="1131" t="s">
        <v>235</v>
      </c>
      <c r="B9" s="844">
        <f>SUM(B5:B8)</f>
        <v>2410445121.96</v>
      </c>
      <c r="C9" s="845">
        <f>SUM(C5:C8)</f>
        <v>0.99999999999999989</v>
      </c>
      <c r="D9" s="147"/>
      <c r="E9" s="130"/>
      <c r="F9" s="130"/>
    </row>
    <row r="10" spans="1:6" ht="23.25">
      <c r="A10" s="1383" t="s">
        <v>1015</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5">
    <tabColor rgb="FF00B0F0"/>
    <pageSetUpPr fitToPage="1"/>
  </sheetPr>
  <dimension ref="A1:K75"/>
  <sheetViews>
    <sheetView showGridLines="0" view="pageBreakPreview" zoomScale="55" zoomScaleNormal="85" zoomScaleSheetLayoutView="55" workbookViewId="0">
      <selection activeCell="B10" sqref="B10"/>
    </sheetView>
  </sheetViews>
  <sheetFormatPr defaultColWidth="11.42578125" defaultRowHeight="14.25"/>
  <cols>
    <col min="1" max="1" width="76.28515625" style="412" customWidth="1"/>
    <col min="2" max="2" width="43.42578125" style="412" customWidth="1"/>
    <col min="3" max="3" width="29.42578125" style="412" customWidth="1"/>
    <col min="4" max="4" width="30.5703125" style="412" customWidth="1"/>
    <col min="5" max="5" width="40" style="412" customWidth="1"/>
    <col min="6" max="6" width="34.140625" style="412" customWidth="1"/>
    <col min="7" max="7" width="21" style="412" bestFit="1" customWidth="1"/>
    <col min="8" max="16384" width="11.42578125" style="412"/>
  </cols>
  <sheetData>
    <row r="1" spans="1:10" s="545" customFormat="1" ht="63" customHeight="1">
      <c r="A1" s="2296" t="s">
        <v>1016</v>
      </c>
      <c r="B1" s="2296"/>
      <c r="C1" s="2296"/>
      <c r="D1" s="2296"/>
      <c r="E1" s="2296"/>
      <c r="F1" s="541"/>
      <c r="G1" s="541"/>
      <c r="H1" s="541"/>
      <c r="I1" s="541"/>
      <c r="J1" s="541"/>
    </row>
    <row r="2" spans="1:10" s="545" customFormat="1" ht="27" customHeight="1">
      <c r="A2" s="2296" t="str">
        <f>+'Resumen '!O3</f>
        <v>Período: Abril 2025</v>
      </c>
      <c r="B2" s="2296"/>
      <c r="C2" s="2296"/>
      <c r="D2" s="2296"/>
      <c r="E2" s="2296"/>
      <c r="F2" s="541"/>
      <c r="G2" s="541"/>
      <c r="H2" s="541"/>
      <c r="I2" s="541"/>
      <c r="J2" s="541"/>
    </row>
    <row r="3" spans="1:10" ht="21.75" customHeight="1">
      <c r="A3" s="307"/>
      <c r="B3" s="307"/>
      <c r="C3" s="307"/>
      <c r="D3" s="307"/>
      <c r="E3" s="307"/>
      <c r="F3" s="307"/>
      <c r="G3" s="307"/>
      <c r="H3" s="307"/>
      <c r="I3" s="307"/>
      <c r="J3" s="307"/>
    </row>
    <row r="4" spans="1:10" s="698" customFormat="1" ht="23.25" customHeight="1">
      <c r="A4" s="696" t="s">
        <v>999</v>
      </c>
      <c r="B4" s="697" t="s">
        <v>994</v>
      </c>
      <c r="C4" s="697" t="s">
        <v>266</v>
      </c>
    </row>
    <row r="5" spans="1:10" s="701" customFormat="1" ht="23.25" customHeight="1">
      <c r="A5" s="699" t="s">
        <v>1001</v>
      </c>
      <c r="B5" s="1782">
        <f>+'IV.2.7.INV_SFS x Entidad'!B9</f>
        <v>2410445121.96</v>
      </c>
      <c r="C5" s="700">
        <f t="shared" ref="C5:C10" si="0">+B5/$B$11</f>
        <v>0.31802625061814277</v>
      </c>
    </row>
    <row r="6" spans="1:10" s="701" customFormat="1" ht="23.25" customHeight="1">
      <c r="A6" s="699" t="s">
        <v>1017</v>
      </c>
      <c r="B6" s="1782">
        <v>4217886515.9499998</v>
      </c>
      <c r="C6" s="700">
        <f t="shared" si="0"/>
        <v>0.55649416034399124</v>
      </c>
    </row>
    <row r="7" spans="1:10" s="701" customFormat="1" ht="23.25" customHeight="1">
      <c r="A7" s="699" t="s">
        <v>1018</v>
      </c>
      <c r="B7" s="1782">
        <v>444175957.56</v>
      </c>
      <c r="C7" s="700">
        <f t="shared" si="0"/>
        <v>5.8603124008344144E-2</v>
      </c>
    </row>
    <row r="8" spans="1:10" s="701" customFormat="1" ht="23.25" customHeight="1">
      <c r="A8" s="699" t="s">
        <v>1019</v>
      </c>
      <c r="B8" s="1782">
        <v>129899296.78</v>
      </c>
      <c r="C8" s="700">
        <f t="shared" si="0"/>
        <v>1.7138488628724868E-2</v>
      </c>
    </row>
    <row r="9" spans="1:10" s="701" customFormat="1" ht="23.25" customHeight="1">
      <c r="A9" s="699" t="s">
        <v>1020</v>
      </c>
      <c r="B9" s="1783">
        <v>191332438.27000001</v>
      </c>
      <c r="C9" s="700">
        <f t="shared" si="0"/>
        <v>2.5243776516744573E-2</v>
      </c>
    </row>
    <row r="10" spans="1:10" s="701" customFormat="1" ht="23.25" customHeight="1">
      <c r="A10" s="699" t="s">
        <v>1021</v>
      </c>
      <c r="B10" s="1783">
        <v>185651104.31</v>
      </c>
      <c r="C10" s="700">
        <f t="shared" si="0"/>
        <v>2.4494199884052284E-2</v>
      </c>
    </row>
    <row r="11" spans="1:10" s="701" customFormat="1" ht="23.25" customHeight="1">
      <c r="A11" s="702" t="s">
        <v>235</v>
      </c>
      <c r="B11" s="703">
        <f>SUM(B5:B10)</f>
        <v>7579390434.8300009</v>
      </c>
      <c r="C11" s="704">
        <f>SUM(C5:C10)</f>
        <v>1</v>
      </c>
      <c r="G11" s="705"/>
    </row>
    <row r="12" spans="1:10" ht="23.25">
      <c r="A12" s="1167" t="s">
        <v>186</v>
      </c>
      <c r="B12" s="1168"/>
      <c r="C12" s="701"/>
      <c r="D12" s="701"/>
      <c r="E12" s="413"/>
    </row>
    <row r="13" spans="1:10">
      <c r="A13" s="413"/>
      <c r="B13" s="413"/>
      <c r="C13" s="413"/>
      <c r="D13" s="413"/>
      <c r="E13" s="413"/>
    </row>
    <row r="14" spans="1:10">
      <c r="B14" s="413"/>
      <c r="C14" s="413"/>
      <c r="D14" s="413"/>
      <c r="E14" s="413"/>
    </row>
    <row r="15" spans="1:10">
      <c r="B15" s="413"/>
      <c r="C15" s="413"/>
      <c r="D15" s="413"/>
      <c r="E15" s="413"/>
    </row>
    <row r="16" spans="1:10">
      <c r="B16" s="413"/>
      <c r="C16" s="413"/>
      <c r="D16" s="413"/>
      <c r="E16" s="413"/>
    </row>
    <row r="17" spans="2:11">
      <c r="B17" s="413"/>
      <c r="C17" s="413"/>
      <c r="D17" s="413"/>
      <c r="E17" s="413"/>
    </row>
    <row r="18" spans="2:11">
      <c r="B18" s="413"/>
      <c r="C18" s="413"/>
      <c r="D18" s="413"/>
      <c r="E18" s="413"/>
    </row>
    <row r="19" spans="2:11">
      <c r="B19" s="413"/>
      <c r="C19" s="413"/>
      <c r="D19" s="413"/>
      <c r="E19" s="413"/>
    </row>
    <row r="20" spans="2:11">
      <c r="B20" s="413"/>
      <c r="C20" s="413"/>
      <c r="D20" s="413"/>
      <c r="E20" s="413"/>
    </row>
    <row r="21" spans="2:11">
      <c r="B21" s="413"/>
      <c r="C21" s="413"/>
      <c r="D21" s="413"/>
      <c r="E21" s="413"/>
    </row>
    <row r="22" spans="2:11">
      <c r="B22" s="413"/>
      <c r="C22" s="413"/>
      <c r="D22" s="413"/>
      <c r="E22" s="413"/>
    </row>
    <row r="23" spans="2:11">
      <c r="B23" s="413"/>
      <c r="C23" s="413"/>
      <c r="D23" s="413"/>
      <c r="E23" s="413"/>
    </row>
    <row r="24" spans="2:11">
      <c r="B24" s="413"/>
      <c r="C24" s="413"/>
      <c r="D24" s="413"/>
      <c r="E24" s="413"/>
    </row>
    <row r="25" spans="2:11">
      <c r="B25" s="413"/>
      <c r="C25" s="413"/>
      <c r="D25" s="413"/>
      <c r="E25" s="413"/>
    </row>
    <row r="26" spans="2:11">
      <c r="B26" s="413"/>
      <c r="C26" s="413"/>
      <c r="D26" s="413"/>
      <c r="E26" s="413"/>
    </row>
    <row r="27" spans="2:11" ht="93.75" customHeight="1">
      <c r="B27" s="413"/>
      <c r="C27" s="413"/>
      <c r="D27" s="413"/>
      <c r="E27" s="413"/>
    </row>
    <row r="28" spans="2:11" ht="93.75" customHeight="1">
      <c r="B28" s="413"/>
      <c r="C28" s="413"/>
      <c r="D28" s="413"/>
      <c r="E28" s="413"/>
    </row>
    <row r="29" spans="2:11" ht="93.75" customHeight="1">
      <c r="B29" s="413"/>
      <c r="C29" s="413"/>
      <c r="D29" s="413"/>
      <c r="E29" s="413"/>
    </row>
    <row r="30" spans="2:11" ht="93.75" customHeight="1">
      <c r="B30" s="413"/>
      <c r="C30" s="413"/>
      <c r="D30" s="413"/>
      <c r="E30" s="413"/>
    </row>
    <row r="31" spans="2:11">
      <c r="H31" s="413"/>
      <c r="I31" s="413"/>
      <c r="J31" s="413"/>
      <c r="K31" s="413"/>
    </row>
    <row r="32" spans="2:11">
      <c r="H32" s="413"/>
      <c r="I32" s="413"/>
      <c r="J32" s="413"/>
      <c r="K32" s="413"/>
    </row>
    <row r="33" spans="2:11">
      <c r="H33" s="413"/>
      <c r="I33" s="413"/>
      <c r="J33" s="413"/>
      <c r="K33" s="413"/>
    </row>
    <row r="34" spans="2:11">
      <c r="H34" s="413"/>
      <c r="I34" s="413"/>
      <c r="J34" s="413"/>
      <c r="K34" s="413"/>
    </row>
    <row r="35" spans="2:11">
      <c r="H35" s="413"/>
      <c r="I35" s="413"/>
      <c r="J35" s="413"/>
      <c r="K35" s="413"/>
    </row>
    <row r="36" spans="2:11">
      <c r="H36" s="413"/>
      <c r="I36" s="413"/>
      <c r="J36" s="413"/>
      <c r="K36" s="413"/>
    </row>
    <row r="37" spans="2:11">
      <c r="B37" s="413"/>
      <c r="C37" s="413"/>
      <c r="D37" s="413"/>
      <c r="E37" s="413"/>
      <c r="H37" s="413"/>
    </row>
    <row r="38" spans="2:11" ht="27.75">
      <c r="B38" s="413"/>
      <c r="C38" s="413"/>
      <c r="D38" s="414"/>
      <c r="E38" s="414"/>
      <c r="H38" s="413"/>
    </row>
    <row r="39" spans="2:11">
      <c r="B39" s="413"/>
      <c r="C39" s="413"/>
      <c r="D39" s="413"/>
      <c r="E39" s="413"/>
      <c r="H39" s="413"/>
    </row>
    <row r="40" spans="2:11">
      <c r="B40" s="413"/>
      <c r="H40" s="413"/>
    </row>
    <row r="41" spans="2:11">
      <c r="B41" s="413"/>
      <c r="H41" s="413"/>
    </row>
    <row r="42" spans="2:11">
      <c r="B42" s="413"/>
    </row>
    <row r="43" spans="2:11">
      <c r="B43" s="413"/>
    </row>
    <row r="44" spans="2:11">
      <c r="B44" s="413"/>
    </row>
    <row r="45" spans="2:11">
      <c r="B45" s="413"/>
      <c r="C45" s="413"/>
      <c r="D45" s="413"/>
      <c r="E45" s="413"/>
    </row>
    <row r="46" spans="2:11">
      <c r="B46" s="413"/>
      <c r="C46" s="413"/>
      <c r="D46" s="413"/>
      <c r="E46" s="413"/>
    </row>
    <row r="47" spans="2:11">
      <c r="B47" s="413"/>
      <c r="C47" s="413"/>
      <c r="D47" s="413"/>
      <c r="E47" s="413"/>
    </row>
    <row r="48" spans="2:11">
      <c r="B48" s="413"/>
      <c r="C48" s="413"/>
      <c r="D48" s="413"/>
      <c r="E48" s="413"/>
    </row>
    <row r="49" spans="2:5">
      <c r="B49" s="413"/>
      <c r="C49" s="413"/>
      <c r="D49" s="413"/>
      <c r="E49" s="413"/>
    </row>
    <row r="50" spans="2:5">
      <c r="B50" s="413"/>
      <c r="C50" s="413"/>
      <c r="D50" s="413"/>
      <c r="E50" s="413"/>
    </row>
    <row r="51" spans="2:5">
      <c r="B51" s="413"/>
      <c r="C51" s="413"/>
      <c r="D51" s="413"/>
      <c r="E51" s="413"/>
    </row>
    <row r="52" spans="2:5">
      <c r="B52" s="413"/>
      <c r="C52" s="413"/>
      <c r="D52" s="413"/>
      <c r="E52" s="413"/>
    </row>
    <row r="53" spans="2:5">
      <c r="B53" s="413"/>
      <c r="C53" s="413"/>
      <c r="D53" s="413"/>
      <c r="E53" s="413"/>
    </row>
    <row r="54" spans="2:5">
      <c r="B54" s="413"/>
      <c r="C54" s="413"/>
      <c r="D54" s="413"/>
      <c r="E54" s="413"/>
    </row>
    <row r="55" spans="2:5">
      <c r="B55" s="413"/>
      <c r="C55" s="413"/>
      <c r="D55" s="413"/>
      <c r="E55" s="413"/>
    </row>
    <row r="56" spans="2:5">
      <c r="B56" s="413"/>
      <c r="C56" s="413"/>
      <c r="D56" s="413"/>
      <c r="E56" s="413"/>
    </row>
    <row r="57" spans="2:5">
      <c r="B57" s="413"/>
      <c r="C57" s="413"/>
      <c r="D57" s="413"/>
      <c r="E57" s="413"/>
    </row>
    <row r="58" spans="2:5">
      <c r="B58" s="413"/>
      <c r="C58" s="413"/>
      <c r="D58" s="413"/>
      <c r="E58" s="413"/>
    </row>
    <row r="59" spans="2:5">
      <c r="B59" s="413"/>
      <c r="C59" s="413"/>
      <c r="D59" s="413"/>
      <c r="E59" s="413"/>
    </row>
    <row r="60" spans="2:5">
      <c r="B60" s="413"/>
      <c r="C60" s="413"/>
      <c r="D60" s="413"/>
      <c r="E60" s="413"/>
    </row>
    <row r="61" spans="2:5">
      <c r="B61" s="413"/>
      <c r="C61" s="413"/>
      <c r="D61" s="413"/>
      <c r="E61" s="413"/>
    </row>
    <row r="62" spans="2:5">
      <c r="B62" s="413"/>
      <c r="C62" s="413"/>
      <c r="D62" s="413"/>
      <c r="E62" s="413"/>
    </row>
    <row r="63" spans="2:5">
      <c r="B63" s="413"/>
      <c r="C63" s="413"/>
      <c r="D63" s="413"/>
      <c r="E63" s="413"/>
    </row>
    <row r="64" spans="2:5">
      <c r="B64" s="413"/>
      <c r="C64" s="413"/>
      <c r="D64" s="413"/>
      <c r="E64" s="413"/>
    </row>
    <row r="65" spans="2:5">
      <c r="B65" s="413"/>
      <c r="C65" s="413"/>
      <c r="D65" s="413"/>
      <c r="E65" s="413"/>
    </row>
    <row r="66" spans="2:5">
      <c r="B66" s="413"/>
      <c r="C66" s="413"/>
      <c r="D66" s="413"/>
      <c r="E66" s="413"/>
    </row>
    <row r="67" spans="2:5">
      <c r="B67" s="413"/>
      <c r="C67" s="413"/>
      <c r="D67" s="413"/>
      <c r="E67" s="413"/>
    </row>
    <row r="68" spans="2:5">
      <c r="B68" s="413"/>
      <c r="C68" s="413"/>
      <c r="D68" s="413"/>
      <c r="E68" s="413"/>
    </row>
    <row r="69" spans="2:5">
      <c r="B69" s="413"/>
      <c r="C69" s="413"/>
      <c r="D69" s="413"/>
      <c r="E69" s="413"/>
    </row>
    <row r="70" spans="2:5">
      <c r="B70" s="413"/>
      <c r="C70" s="413"/>
      <c r="D70" s="413"/>
      <c r="E70" s="413"/>
    </row>
    <row r="71" spans="2:5">
      <c r="B71" s="413"/>
      <c r="C71" s="413"/>
      <c r="D71" s="413"/>
      <c r="E71" s="413"/>
    </row>
    <row r="72" spans="2:5">
      <c r="B72" s="413"/>
      <c r="C72" s="413"/>
      <c r="D72" s="413"/>
      <c r="E72" s="413"/>
    </row>
    <row r="73" spans="2:5">
      <c r="B73" s="413"/>
      <c r="C73" s="413"/>
      <c r="D73" s="413"/>
      <c r="E73" s="413"/>
    </row>
    <row r="74" spans="2:5">
      <c r="B74" s="413"/>
      <c r="C74" s="413"/>
      <c r="D74" s="413"/>
      <c r="E74" s="413"/>
    </row>
    <row r="75" spans="2:5">
      <c r="B75" s="413"/>
      <c r="C75" s="413"/>
      <c r="D75" s="413"/>
      <c r="E75" s="413"/>
    </row>
  </sheetData>
  <mergeCells count="2">
    <mergeCell ref="A1:E1"/>
    <mergeCell ref="A2:E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46">
    <tabColor rgb="FF00B0F0"/>
    <pageSetUpPr fitToPage="1"/>
  </sheetPr>
  <dimension ref="A1:M47"/>
  <sheetViews>
    <sheetView showGridLines="0" view="pageBreakPreview" topLeftCell="A4" zoomScale="55" zoomScaleNormal="70" zoomScaleSheetLayoutView="55" workbookViewId="0">
      <selection activeCell="A3" sqref="A3:K3"/>
    </sheetView>
  </sheetViews>
  <sheetFormatPr defaultColWidth="11.42578125" defaultRowHeight="15"/>
  <cols>
    <col min="1" max="1" width="30.5703125" style="1235" customWidth="1"/>
    <col min="2" max="2" width="40" style="16" customWidth="1"/>
    <col min="3" max="3" width="36.85546875" style="16" customWidth="1"/>
    <col min="4" max="4" width="37.42578125" style="16" hidden="1" customWidth="1"/>
    <col min="5" max="5" width="23.140625" style="1064"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540" customFormat="1" ht="79.5" customHeight="1">
      <c r="A1" s="2297" t="s">
        <v>1022</v>
      </c>
      <c r="B1" s="2297"/>
      <c r="C1" s="2297"/>
      <c r="D1" s="2297"/>
      <c r="E1" s="2297"/>
      <c r="F1" s="2297"/>
      <c r="G1" s="2297"/>
      <c r="H1" s="2297"/>
      <c r="I1" s="2297"/>
      <c r="J1" s="2297"/>
      <c r="K1" s="2297"/>
    </row>
    <row r="2" spans="1:13" s="540" customFormat="1" ht="33.75" customHeight="1">
      <c r="A2" s="2299" t="s">
        <v>1023</v>
      </c>
      <c r="B2" s="2299"/>
      <c r="C2" s="2299"/>
      <c r="D2" s="2299"/>
      <c r="E2" s="2299"/>
      <c r="F2" s="2299"/>
      <c r="G2" s="2299"/>
      <c r="H2" s="2299"/>
      <c r="I2" s="2299"/>
      <c r="J2" s="2299"/>
      <c r="K2" s="2299"/>
    </row>
    <row r="3" spans="1:13" customFormat="1" ht="18" customHeight="1">
      <c r="A3" s="2298"/>
      <c r="B3" s="2298"/>
      <c r="C3" s="2298"/>
      <c r="D3" s="2298"/>
      <c r="E3" s="2298"/>
      <c r="F3" s="2298"/>
      <c r="G3" s="2298"/>
      <c r="H3" s="2298"/>
      <c r="I3" s="2298"/>
      <c r="J3" s="2298"/>
      <c r="K3" s="2298"/>
      <c r="L3" s="27"/>
      <c r="M3" s="27"/>
    </row>
    <row r="4" spans="1:13" ht="48.75" customHeight="1">
      <c r="A4" s="1265" t="s">
        <v>371</v>
      </c>
      <c r="B4" s="1266" t="s">
        <v>1024</v>
      </c>
      <c r="C4" s="1266" t="s">
        <v>1025</v>
      </c>
      <c r="D4" s="1060" t="s">
        <v>359</v>
      </c>
      <c r="E4" s="1062" t="s">
        <v>1026</v>
      </c>
      <c r="F4" s="523"/>
      <c r="G4" s="523"/>
      <c r="H4" s="523"/>
      <c r="I4" s="523"/>
      <c r="J4" s="523"/>
      <c r="K4" s="510"/>
    </row>
    <row r="5" spans="1:13" customFormat="1" ht="23.25">
      <c r="A5" s="1267">
        <v>2015</v>
      </c>
      <c r="B5" s="1268">
        <f>+'IV.1.3. Ingr y egr SDSS'!C6</f>
        <v>6922811271.25</v>
      </c>
      <c r="C5" s="1269">
        <f>+'IV.1.3. Ingr y egr SDSS'!I6</f>
        <v>6892825210.3000002</v>
      </c>
      <c r="D5" s="1059" t="e">
        <f>+#REF!*1000000</f>
        <v>#REF!</v>
      </c>
      <c r="E5" s="1061" t="e">
        <f>+Tabla33[[#This Row],[Aporte Gobierno (Presupuestado)]]/Tabla33[[#This Row],[Columna1]]</f>
        <v>#REF!</v>
      </c>
      <c r="F5" s="8"/>
      <c r="G5" s="8"/>
      <c r="H5" s="8"/>
      <c r="I5" s="8"/>
      <c r="J5" s="8"/>
      <c r="K5" s="29"/>
    </row>
    <row r="6" spans="1:13" customFormat="1" ht="23.25">
      <c r="A6" s="1267">
        <v>2016</v>
      </c>
      <c r="B6" s="1268">
        <f>+'IV.1.3. Ingr y egr SDSS'!C7</f>
        <v>8498167479</v>
      </c>
      <c r="C6" s="1269">
        <f>+'IV.1.3. Ingr y egr SDSS'!I7</f>
        <v>8178603831.1000004</v>
      </c>
      <c r="D6" s="1059" t="e">
        <f>+#REF!*1000000</f>
        <v>#REF!</v>
      </c>
      <c r="E6" s="1061" t="e">
        <f>+Tabla33[[#This Row],[Aporte Gobierno (Presupuestado)]]/Tabla33[[#This Row],[Columna1]]</f>
        <v>#REF!</v>
      </c>
      <c r="F6" s="8"/>
      <c r="G6" s="8"/>
      <c r="H6" s="8"/>
      <c r="I6" s="8"/>
      <c r="J6" s="8"/>
      <c r="K6" s="29"/>
    </row>
    <row r="7" spans="1:13" customFormat="1" ht="23.25">
      <c r="A7" s="1267">
        <v>2017</v>
      </c>
      <c r="B7" s="1268">
        <f>+'IV.1.3. Ingr y egr SDSS'!C8</f>
        <v>8861365332.7000008</v>
      </c>
      <c r="C7" s="1269">
        <f>+'IV.1.3. Ingr y egr SDSS'!I8</f>
        <v>9002153750.7799988</v>
      </c>
      <c r="D7" s="1059" t="e">
        <f>+#REF!*1000000</f>
        <v>#REF!</v>
      </c>
      <c r="E7" s="1061" t="e">
        <f>+Tabla33[[#This Row],[Aporte Gobierno (Presupuestado)]]/Tabla33[[#This Row],[Columna1]]</f>
        <v>#REF!</v>
      </c>
      <c r="F7" s="8"/>
      <c r="G7" s="8"/>
      <c r="H7" s="8"/>
      <c r="I7" s="8"/>
      <c r="J7" s="8"/>
      <c r="K7" s="29"/>
    </row>
    <row r="8" spans="1:13" customFormat="1" ht="23.25">
      <c r="A8" s="1267">
        <v>2018</v>
      </c>
      <c r="B8" s="1268">
        <f>+'IV.1.3. Ingr y egr SDSS'!C9</f>
        <v>9303031996.6900005</v>
      </c>
      <c r="C8" s="1269">
        <f>+'IV.1.3. Ingr y egr SDSS'!I9</f>
        <v>9656741344.960001</v>
      </c>
      <c r="D8" s="1059" t="e">
        <f>+#REF!*1000000</f>
        <v>#REF!</v>
      </c>
      <c r="E8" s="1061" t="e">
        <f>+Tabla33[[#This Row],[Aporte Gobierno (Presupuestado)]]/Tabla33[[#This Row],[Columna1]]</f>
        <v>#REF!</v>
      </c>
      <c r="F8" s="8"/>
      <c r="G8" s="8"/>
      <c r="H8" s="8"/>
      <c r="I8" s="8"/>
      <c r="J8" s="8"/>
      <c r="K8" s="29"/>
    </row>
    <row r="9" spans="1:13" customFormat="1" ht="23.25">
      <c r="A9" s="1267">
        <v>2019</v>
      </c>
      <c r="B9" s="1268">
        <f>+'IV.1.3. Ingr y egr SDSS'!C10</f>
        <v>10073865331.02</v>
      </c>
      <c r="C9" s="1269">
        <f>+'IV.1.3. Ingr y egr SDSS'!I10</f>
        <v>10092459380.139999</v>
      </c>
      <c r="D9" s="1059" t="e">
        <f>+#REF!*1000000</f>
        <v>#REF!</v>
      </c>
      <c r="E9" s="1061" t="e">
        <f>+Tabla33[[#This Row],[Aporte Gobierno (Presupuestado)]]/Tabla33[[#This Row],[Columna1]]</f>
        <v>#REF!</v>
      </c>
      <c r="F9" s="8"/>
      <c r="G9" s="8"/>
      <c r="H9" s="8"/>
      <c r="I9" s="8"/>
      <c r="J9" s="8"/>
      <c r="K9" s="29"/>
    </row>
    <row r="10" spans="1:13" customFormat="1" ht="23.25">
      <c r="A10" s="1267">
        <v>2020</v>
      </c>
      <c r="B10" s="1269">
        <f>+'IV.1.3. Ingr y egr SDSS'!C11</f>
        <v>10800531998.65</v>
      </c>
      <c r="C10" s="1269">
        <f>+'IV.1.3. Ingr y egr SDSS'!I11</f>
        <v>12108569830.129999</v>
      </c>
      <c r="D10" s="1059" t="e">
        <f>+#REF!*1000000</f>
        <v>#REF!</v>
      </c>
      <c r="E10" s="1061" t="e">
        <f>+Tabla33[[#This Row],[Aporte Gobierno (Presupuestado)]]/Tabla33[[#This Row],[Columna1]]</f>
        <v>#REF!</v>
      </c>
      <c r="F10" s="8"/>
      <c r="G10" s="8"/>
      <c r="H10" s="8"/>
      <c r="I10" s="8"/>
      <c r="J10" s="8"/>
      <c r="K10" s="29"/>
    </row>
    <row r="11" spans="1:13" customFormat="1" ht="23.25">
      <c r="A11" s="1267">
        <v>2021</v>
      </c>
      <c r="B11" s="1269">
        <f>+'IV.1.3. Ingr y egr SDSS'!C12</f>
        <v>17765576332.630001</v>
      </c>
      <c r="C11" s="1269">
        <v>18026955388.759998</v>
      </c>
      <c r="D11" s="1059" t="e">
        <f>+#REF!*1000000</f>
        <v>#REF!</v>
      </c>
      <c r="E11" s="1061" t="e">
        <f>+Tabla33[[#This Row],[Aporte Gobierno (Presupuestado)]]/Tabla33[[#This Row],[Columna1]]</f>
        <v>#REF!</v>
      </c>
      <c r="F11" s="8"/>
      <c r="G11" s="8"/>
      <c r="H11" s="8"/>
      <c r="I11" s="8"/>
      <c r="J11" s="8"/>
      <c r="K11" s="29"/>
    </row>
    <row r="12" spans="1:13" customFormat="1" ht="23.25">
      <c r="A12" s="1267">
        <v>2022</v>
      </c>
      <c r="B12" s="1269">
        <f>+'IV.1.3. Ingr y egr SDSS'!C13</f>
        <v>16860531998.969999</v>
      </c>
      <c r="C12" s="1269">
        <v>18618103739.529999</v>
      </c>
      <c r="D12" s="1059" t="e">
        <f>+#REF!*1000000</f>
        <v>#REF!</v>
      </c>
      <c r="E12" s="1061" t="e">
        <f>+Tabla33[[#This Row],[Aporte Gobierno (Presupuestado)]]/Tabla33[[#This Row],[Columna1]]</f>
        <v>#REF!</v>
      </c>
      <c r="F12" s="8"/>
      <c r="G12" s="8"/>
      <c r="H12" s="8"/>
      <c r="I12" s="8"/>
      <c r="J12" s="8"/>
      <c r="K12" s="29"/>
    </row>
    <row r="13" spans="1:13" customFormat="1" ht="23.25">
      <c r="A13" s="1267">
        <v>2023</v>
      </c>
      <c r="B13" s="1269">
        <f>+'IV.1.3. Ingr y egr SDSS'!C14</f>
        <v>18395222000</v>
      </c>
      <c r="C13" s="1269">
        <f>+'IV.1.3. Ingr y egr SDSS'!I14</f>
        <v>18680602574.010002</v>
      </c>
      <c r="D13" s="1059" t="e">
        <f>+#REF!*1000000</f>
        <v>#REF!</v>
      </c>
      <c r="E13" s="1061" t="e">
        <f>+Tabla33[[#This Row],[Aporte Gobierno (Presupuestado)]]/Tabla33[[#This Row],[Columna1]]</f>
        <v>#REF!</v>
      </c>
      <c r="F13" s="8"/>
      <c r="G13" s="8"/>
      <c r="H13" s="8"/>
      <c r="I13" s="8"/>
      <c r="J13" s="8"/>
      <c r="K13" s="29"/>
    </row>
    <row r="14" spans="1:13" customFormat="1" ht="23.25">
      <c r="A14" s="1267">
        <v>2024</v>
      </c>
      <c r="B14" s="1268">
        <f>+'IV.1.3. Ingr y egr SDSS'!C15</f>
        <v>18395222000</v>
      </c>
      <c r="C14" s="1269">
        <f>+'IV.1.3. Ingr y egr SDSS'!I15</f>
        <v>18566920747.349998</v>
      </c>
      <c r="D14" s="1059" t="e">
        <f>+#REF!*1000000</f>
        <v>#REF!</v>
      </c>
      <c r="E14" s="1061" t="e">
        <f>+Tabla33[[#This Row],[Aporte Gobierno (Presupuestado)]]/Tabla33[[#This Row],[Columna1]]</f>
        <v>#REF!</v>
      </c>
      <c r="F14" s="8"/>
      <c r="G14" s="8"/>
      <c r="H14" s="8"/>
      <c r="I14" s="8"/>
      <c r="J14" s="8"/>
      <c r="K14" s="29"/>
    </row>
    <row r="15" spans="1:13" customFormat="1" ht="23.25">
      <c r="A15" s="1267" t="str">
        <f>+'Resumen '!O6</f>
        <v>Abr.2025</v>
      </c>
      <c r="B15" s="1268">
        <f>+'IV.1.3. Ingr y egr SDSS'!C16</f>
        <v>6198407333.3199997</v>
      </c>
      <c r="C15" s="1269">
        <f>+'IV.1.3. Ingr y egr SDSS'!I16</f>
        <v>7637610930.5600004</v>
      </c>
      <c r="D15" s="1059" t="e">
        <f>+#REF!*1000000</f>
        <v>#REF!</v>
      </c>
      <c r="E15" s="1061" t="e">
        <f>+Tabla33[[#This Row],[Aporte Gobierno (Presupuestado)]]/Tabla33[[#This Row],[Columna1]]</f>
        <v>#REF!</v>
      </c>
      <c r="F15" s="8"/>
      <c r="G15" s="8"/>
      <c r="H15" s="8"/>
      <c r="I15" s="8"/>
      <c r="J15" s="8"/>
    </row>
    <row r="16" spans="1:13" customFormat="1" ht="23.25">
      <c r="A16" s="1270" t="s">
        <v>235</v>
      </c>
      <c r="B16" s="1271">
        <f>SUM(B5:B15)</f>
        <v>132074733074.23001</v>
      </c>
      <c r="C16" s="1271">
        <f>SUM(C5:C15)</f>
        <v>137461546727.62</v>
      </c>
      <c r="D16" s="1059" t="e">
        <f>+#REF!*1000000</f>
        <v>#REF!</v>
      </c>
      <c r="E16" s="1063" t="e">
        <f>+Tabla33[[#This Row],[Aporte Gobierno (Presupuestado)]]/Tabla33[[#This Row],[Columna1]]</f>
        <v>#REF!</v>
      </c>
      <c r="F16" s="8"/>
      <c r="G16" s="8"/>
      <c r="H16" s="8"/>
      <c r="I16" s="8"/>
      <c r="J16" s="8"/>
      <c r="K16" s="16"/>
    </row>
    <row r="17" spans="1:11" customFormat="1">
      <c r="A17" s="1233"/>
      <c r="B17" s="84"/>
      <c r="C17" s="84"/>
      <c r="D17" s="8"/>
      <c r="E17" s="41"/>
      <c r="F17" s="8"/>
      <c r="G17" s="8"/>
      <c r="H17" s="8"/>
      <c r="I17" s="8"/>
      <c r="J17" s="8"/>
      <c r="K17" s="8"/>
    </row>
    <row r="18" spans="1:11" customFormat="1">
      <c r="A18" s="1234"/>
      <c r="C18" s="8"/>
      <c r="D18" s="8"/>
      <c r="E18" s="41"/>
      <c r="F18" s="8"/>
      <c r="G18" s="8"/>
      <c r="H18" s="8"/>
      <c r="I18" s="8"/>
      <c r="J18" s="8"/>
      <c r="K18" s="8"/>
    </row>
    <row r="19" spans="1:11" customFormat="1">
      <c r="A19" s="1234"/>
      <c r="C19" s="8"/>
      <c r="D19" s="8"/>
      <c r="E19" s="41"/>
      <c r="F19" s="8"/>
      <c r="G19" s="8"/>
      <c r="H19" s="8"/>
      <c r="I19" s="8"/>
      <c r="J19" s="8"/>
      <c r="K19" s="8"/>
    </row>
    <row r="20" spans="1:11" customFormat="1">
      <c r="A20" s="1234"/>
      <c r="C20" s="8"/>
      <c r="D20" s="8"/>
      <c r="E20" s="41"/>
      <c r="F20" s="8"/>
      <c r="G20" s="8"/>
      <c r="H20" s="8"/>
      <c r="I20" s="8"/>
      <c r="J20" s="8"/>
      <c r="K20" s="8"/>
    </row>
    <row r="21" spans="1:11" customFormat="1">
      <c r="A21" s="1234"/>
      <c r="C21" s="8"/>
      <c r="D21" s="8"/>
      <c r="E21" s="41"/>
      <c r="F21" s="8"/>
      <c r="G21" s="8"/>
      <c r="H21" s="8"/>
      <c r="I21" s="8"/>
      <c r="J21" s="8"/>
      <c r="K21" s="8"/>
    </row>
    <row r="22" spans="1:11" customFormat="1">
      <c r="A22" s="1234"/>
      <c r="C22" s="8"/>
      <c r="D22" s="8"/>
      <c r="E22" s="41"/>
      <c r="F22" s="8"/>
      <c r="G22" s="8"/>
      <c r="H22" s="8"/>
      <c r="I22" s="8"/>
      <c r="J22" s="8"/>
      <c r="K22" s="8"/>
    </row>
    <row r="23" spans="1:11" customFormat="1">
      <c r="A23" s="1234"/>
      <c r="C23" s="8"/>
      <c r="D23" s="8"/>
      <c r="E23" s="41"/>
      <c r="F23" s="8"/>
      <c r="G23" s="8"/>
      <c r="H23" s="8"/>
      <c r="I23" s="8"/>
      <c r="J23" s="8"/>
      <c r="K23" s="8"/>
    </row>
    <row r="24" spans="1:11" customFormat="1">
      <c r="A24" s="1234"/>
      <c r="C24" s="8"/>
      <c r="D24" s="8"/>
      <c r="E24" s="41"/>
      <c r="F24" s="8"/>
      <c r="G24" s="8"/>
      <c r="H24" s="8"/>
      <c r="I24" s="8"/>
      <c r="J24" s="8"/>
      <c r="K24" s="8"/>
    </row>
    <row r="25" spans="1:11" customFormat="1">
      <c r="A25" s="1234"/>
      <c r="C25" s="8"/>
      <c r="D25" s="8"/>
      <c r="E25" s="41"/>
      <c r="F25" s="8"/>
      <c r="G25" s="8"/>
      <c r="H25" s="8"/>
      <c r="I25" s="8"/>
      <c r="J25" s="8"/>
      <c r="K25" s="8"/>
    </row>
    <row r="26" spans="1:11" customFormat="1">
      <c r="A26" s="1234"/>
      <c r="C26" s="8"/>
      <c r="D26" s="8"/>
      <c r="E26" s="41"/>
      <c r="F26" s="8"/>
      <c r="G26" s="8"/>
      <c r="H26" s="8"/>
      <c r="I26" s="8"/>
      <c r="J26" s="8"/>
      <c r="K26" s="8"/>
    </row>
    <row r="27" spans="1:11" customFormat="1">
      <c r="A27" s="1234"/>
      <c r="C27" s="8"/>
      <c r="D27" s="8"/>
      <c r="E27" s="41"/>
      <c r="F27" s="8"/>
      <c r="G27" s="8"/>
      <c r="H27" s="8"/>
      <c r="I27" s="8"/>
      <c r="J27" s="8"/>
      <c r="K27" s="8"/>
    </row>
    <row r="28" spans="1:11" customFormat="1">
      <c r="A28" s="1234"/>
      <c r="C28" s="8"/>
      <c r="D28" s="8"/>
      <c r="E28" s="41"/>
      <c r="F28" s="8"/>
      <c r="G28" s="8"/>
      <c r="H28" s="8"/>
      <c r="I28" s="8"/>
      <c r="J28" s="8"/>
      <c r="K28" s="8"/>
    </row>
    <row r="29" spans="1:11" customFormat="1">
      <c r="A29" s="1234"/>
      <c r="C29" s="8"/>
      <c r="D29" s="8"/>
      <c r="E29" s="41"/>
    </row>
    <row r="30" spans="1:11" customFormat="1">
      <c r="A30" s="1234"/>
      <c r="C30" s="8"/>
      <c r="E30" s="41"/>
    </row>
    <row r="31" spans="1:11" customFormat="1">
      <c r="A31" s="1234"/>
      <c r="E31" s="41"/>
    </row>
    <row r="32" spans="1:11" customFormat="1">
      <c r="A32" s="1234"/>
      <c r="E32" s="41"/>
    </row>
    <row r="33" spans="1:5" customFormat="1">
      <c r="A33" s="1234"/>
      <c r="E33" s="41"/>
    </row>
    <row r="34" spans="1:5" customFormat="1">
      <c r="A34" s="1234"/>
      <c r="E34" s="41"/>
    </row>
    <row r="35" spans="1:5" customFormat="1">
      <c r="A35" s="1234"/>
      <c r="E35" s="41"/>
    </row>
    <row r="36" spans="1:5" customFormat="1">
      <c r="A36" s="1234"/>
      <c r="E36" s="41"/>
    </row>
    <row r="37" spans="1:5" customFormat="1">
      <c r="A37" s="1234"/>
      <c r="E37" s="41"/>
    </row>
    <row r="38" spans="1:5" customFormat="1">
      <c r="A38" s="1234"/>
      <c r="E38" s="41"/>
    </row>
    <row r="39" spans="1:5" customFormat="1">
      <c r="A39" s="1234"/>
      <c r="E39" s="41"/>
    </row>
    <row r="40" spans="1:5" customFormat="1">
      <c r="A40" s="1234"/>
      <c r="E40" s="41"/>
    </row>
    <row r="41" spans="1:5" customFormat="1">
      <c r="A41" s="1234"/>
      <c r="E41" s="41"/>
    </row>
    <row r="42" spans="1:5" customFormat="1">
      <c r="A42" s="1234"/>
      <c r="E42" s="41"/>
    </row>
    <row r="43" spans="1:5" customFormat="1">
      <c r="A43" s="1234"/>
      <c r="E43" s="41"/>
    </row>
    <row r="44" spans="1:5" customFormat="1">
      <c r="A44" s="1234"/>
      <c r="E44" s="41"/>
    </row>
    <row r="45" spans="1:5" customFormat="1">
      <c r="A45" s="1234"/>
      <c r="E45" s="41"/>
    </row>
    <row r="46" spans="1:5">
      <c r="A46" s="1234"/>
      <c r="B46"/>
      <c r="C46"/>
      <c r="D46"/>
    </row>
    <row r="47" spans="1:5">
      <c r="A47" s="1234"/>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88">
    <tabColor rgb="FF00B0F0"/>
    <pageSetUpPr fitToPage="1"/>
  </sheetPr>
  <dimension ref="A1:J41"/>
  <sheetViews>
    <sheetView showGridLines="0" view="pageBreakPreview" zoomScale="70" zoomScaleNormal="85" zoomScaleSheetLayoutView="70" workbookViewId="0">
      <selection activeCell="B15" sqref="B15"/>
    </sheetView>
  </sheetViews>
  <sheetFormatPr defaultColWidth="11.42578125" defaultRowHeight="14.25"/>
  <cols>
    <col min="1" max="1" width="19.7109375" style="307" customWidth="1"/>
    <col min="2" max="2" width="32.7109375" style="307" customWidth="1"/>
    <col min="3" max="3" width="19.28515625" style="307" bestFit="1" customWidth="1"/>
    <col min="4" max="4" width="22" style="307" bestFit="1" customWidth="1"/>
    <col min="5" max="8" width="22" style="307" customWidth="1"/>
    <col min="9" max="9" width="27" style="307" customWidth="1"/>
    <col min="10" max="10" width="24.28515625" style="307" customWidth="1"/>
    <col min="11" max="11" width="16.28515625" style="307" customWidth="1"/>
    <col min="12" max="16384" width="11.42578125" style="307"/>
  </cols>
  <sheetData>
    <row r="1" spans="1:10" s="541" customFormat="1" ht="64.5" customHeight="1">
      <c r="A1" s="2177" t="s">
        <v>1027</v>
      </c>
      <c r="B1" s="2177"/>
      <c r="C1" s="2177"/>
      <c r="D1" s="2177"/>
      <c r="E1" s="2177"/>
      <c r="F1" s="2177"/>
      <c r="G1" s="2177"/>
      <c r="H1" s="2177"/>
      <c r="I1" s="2177"/>
      <c r="J1" s="2177"/>
    </row>
    <row r="2" spans="1:10" s="541" customFormat="1" ht="23.25">
      <c r="A2" s="2300" t="s">
        <v>936</v>
      </c>
      <c r="B2" s="2300"/>
      <c r="C2" s="2300"/>
      <c r="D2" s="2300"/>
      <c r="E2" s="2300"/>
      <c r="F2" s="2300"/>
      <c r="G2" s="2300"/>
      <c r="H2" s="2300"/>
      <c r="I2" s="2300"/>
      <c r="J2" s="2300"/>
    </row>
    <row r="3" spans="1:10" ht="8.25" customHeight="1"/>
    <row r="4" spans="1:10" ht="21" customHeight="1">
      <c r="A4" s="582" t="s">
        <v>562</v>
      </c>
      <c r="B4" s="583" t="s">
        <v>1028</v>
      </c>
      <c r="C4" s="399"/>
    </row>
    <row r="5" spans="1:10" ht="18">
      <c r="A5" s="694" t="s">
        <v>447</v>
      </c>
      <c r="B5" s="1161">
        <f>+'IV.1.3. Ingr y egr SDSS'!J6</f>
        <v>335652778.95999998</v>
      </c>
      <c r="C5" s="399"/>
    </row>
    <row r="6" spans="1:10" ht="18">
      <c r="A6" s="694" t="s">
        <v>448</v>
      </c>
      <c r="B6" s="1161">
        <f>+'IV.1.3. Ingr y egr SDSS'!J7</f>
        <v>328531909.15999991</v>
      </c>
      <c r="C6" s="399"/>
    </row>
    <row r="7" spans="1:10" ht="18">
      <c r="A7" s="694" t="s">
        <v>449</v>
      </c>
      <c r="B7" s="1161">
        <f>+'IV.1.3. Ingr y egr SDSS'!J8</f>
        <v>558973905.84000003</v>
      </c>
      <c r="C7" s="399"/>
    </row>
    <row r="8" spans="1:10" ht="18">
      <c r="A8" s="694" t="s">
        <v>450</v>
      </c>
      <c r="B8" s="1161">
        <f>+'IV.1.3. Ingr y egr SDSS'!J9</f>
        <v>758411882.95999992</v>
      </c>
      <c r="C8" s="399"/>
    </row>
    <row r="9" spans="1:10" ht="18">
      <c r="A9" s="694" t="s">
        <v>451</v>
      </c>
      <c r="B9" s="1161">
        <f>+'IV.1.3. Ingr y egr SDSS'!J10</f>
        <v>973800800.96999991</v>
      </c>
      <c r="C9" s="399"/>
    </row>
    <row r="10" spans="1:10" ht="18">
      <c r="A10" s="695">
        <v>2020</v>
      </c>
      <c r="B10" s="1161">
        <f>+'IV.1.3. Ingr y egr SDSS'!J11</f>
        <v>970014744.09000003</v>
      </c>
      <c r="C10" s="399"/>
    </row>
    <row r="11" spans="1:10" ht="18">
      <c r="A11" s="695">
        <v>2021</v>
      </c>
      <c r="B11" s="1161">
        <f>+'IV.1.3. Ingr y egr SDSS'!J12</f>
        <v>854040296.11999989</v>
      </c>
      <c r="C11" s="399"/>
    </row>
    <row r="12" spans="1:10" ht="18">
      <c r="A12" s="695">
        <v>2022</v>
      </c>
      <c r="B12" s="1161">
        <f>+'IV.1.3. Ingr y egr SDSS'!J13</f>
        <v>1581951303.1199999</v>
      </c>
      <c r="C12" s="399"/>
    </row>
    <row r="13" spans="1:10" ht="18">
      <c r="A13" s="695">
        <v>2023</v>
      </c>
      <c r="B13" s="1161">
        <f>+'IV.1.3. Ingr y egr SDSS'!J14</f>
        <v>1744042776.5300002</v>
      </c>
      <c r="C13" s="399"/>
    </row>
    <row r="14" spans="1:10" ht="18">
      <c r="A14" s="695">
        <v>2024</v>
      </c>
      <c r="B14" s="1161">
        <v>2068231616.74</v>
      </c>
      <c r="C14" s="399"/>
    </row>
    <row r="15" spans="1:10" ht="18">
      <c r="A15" s="695" t="str">
        <f>+'IV.2.9.Aport. GOB. y Pagos RS'!A15</f>
        <v>Abr.2025</v>
      </c>
      <c r="B15" s="1161">
        <f>+'IV.1.3. Ingr y egr SDSS'!J16</f>
        <v>781988803.13999999</v>
      </c>
      <c r="C15" s="399"/>
    </row>
    <row r="16" spans="1:10" ht="18">
      <c r="A16" s="586" t="s">
        <v>235</v>
      </c>
      <c r="B16" s="1162">
        <f>SUM(B5:B15)</f>
        <v>10955640817.629999</v>
      </c>
    </row>
    <row r="38" ht="33" customHeight="1"/>
    <row r="39" ht="39" customHeight="1"/>
    <row r="40" ht="39" customHeight="1"/>
    <row r="41"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0">
    <tabColor theme="8" tint="-0.249977111117893"/>
    <pageSetUpPr fitToPage="1"/>
  </sheetPr>
  <dimension ref="A5:V53"/>
  <sheetViews>
    <sheetView showGridLines="0" view="pageBreakPreview" zoomScale="55" zoomScaleNormal="100" zoomScaleSheetLayoutView="55" workbookViewId="0">
      <selection activeCell="L28" sqref="L28"/>
    </sheetView>
  </sheetViews>
  <sheetFormatPr defaultColWidth="11.42578125" defaultRowHeight="23.25"/>
  <cols>
    <col min="1" max="2" width="11.42578125" style="307"/>
    <col min="3" max="3" width="18.85546875" style="307" customWidth="1"/>
    <col min="4" max="4" width="11.42578125" style="307"/>
    <col min="5" max="6" width="21.140625" style="307" customWidth="1"/>
    <col min="7" max="7" width="29" style="307" customWidth="1"/>
    <col min="8" max="8" width="55.28515625" style="307" customWidth="1"/>
    <col min="9" max="9" width="45.28515625" style="307" customWidth="1"/>
    <col min="10" max="10" width="68.140625" style="307" customWidth="1"/>
    <col min="11" max="11" width="11" style="307" customWidth="1"/>
    <col min="12" max="12" width="42.85546875" style="955" customWidth="1"/>
    <col min="13" max="13" width="75.85546875" style="1178" bestFit="1" customWidth="1"/>
    <col min="14" max="14" width="22" style="1178" customWidth="1"/>
    <col min="15" max="15" width="7.5703125" style="1178" customWidth="1"/>
    <col min="16" max="16" width="45" style="1178" customWidth="1"/>
    <col min="17" max="17" width="36" style="333" customWidth="1"/>
    <col min="18" max="18" width="17.28515625" style="333" bestFit="1" customWidth="1"/>
    <col min="19" max="20" width="11.42578125" style="333"/>
    <col min="21" max="16384" width="11.42578125" style="307"/>
  </cols>
  <sheetData>
    <row r="5" spans="1:22" ht="36.75" customHeight="1"/>
    <row r="6" spans="1:22" ht="41.25" customHeight="1">
      <c r="A6" s="2301" t="s">
        <v>1029</v>
      </c>
      <c r="B6" s="2302"/>
      <c r="C6" s="2302"/>
      <c r="D6" s="2302"/>
      <c r="E6" s="2302"/>
      <c r="F6" s="2302"/>
      <c r="G6" s="2302"/>
      <c r="H6" s="2302"/>
      <c r="I6" s="2302"/>
      <c r="J6" s="2302"/>
    </row>
    <row r="7" spans="1:22">
      <c r="A7" s="2302"/>
      <c r="B7" s="2302"/>
      <c r="C7" s="2302"/>
      <c r="D7" s="2302"/>
      <c r="E7" s="2302"/>
      <c r="F7" s="2302"/>
      <c r="G7" s="2302"/>
      <c r="H7" s="2302"/>
      <c r="I7" s="2302"/>
      <c r="J7" s="2302"/>
    </row>
    <row r="8" spans="1:22">
      <c r="A8" s="2302"/>
      <c r="B8" s="2302"/>
      <c r="C8" s="2302"/>
      <c r="D8" s="2302"/>
      <c r="E8" s="2302"/>
      <c r="F8" s="2302"/>
      <c r="G8" s="2302"/>
      <c r="H8" s="2302"/>
      <c r="I8" s="2302"/>
      <c r="J8" s="2302"/>
    </row>
    <row r="9" spans="1:22">
      <c r="A9" s="2302"/>
      <c r="B9" s="2302"/>
      <c r="C9" s="2302"/>
      <c r="D9" s="2302"/>
      <c r="E9" s="2302"/>
      <c r="F9" s="2302"/>
      <c r="G9" s="2302"/>
      <c r="H9" s="2302"/>
      <c r="I9" s="2302"/>
      <c r="J9" s="2302"/>
    </row>
    <row r="10" spans="1:22">
      <c r="A10" s="2302"/>
      <c r="B10" s="2302"/>
      <c r="C10" s="2302"/>
      <c r="D10" s="2302"/>
      <c r="E10" s="2302"/>
      <c r="F10" s="2302"/>
      <c r="G10" s="2302"/>
      <c r="H10" s="2302"/>
      <c r="I10" s="2302"/>
      <c r="J10" s="2302"/>
      <c r="L10" s="1179"/>
      <c r="M10" s="1181">
        <f>+'IV.3.2.Pagos_ SVDS'!B16</f>
        <v>667658335760.33997</v>
      </c>
      <c r="N10" s="1180"/>
    </row>
    <row r="11" spans="1:22">
      <c r="A11" s="2302"/>
      <c r="B11" s="2302"/>
      <c r="C11" s="2302"/>
      <c r="D11" s="2302"/>
      <c r="E11" s="2302"/>
      <c r="F11" s="2302"/>
      <c r="G11" s="2302"/>
      <c r="H11" s="2302"/>
      <c r="I11" s="2302"/>
      <c r="J11" s="2302"/>
      <c r="L11" s="1179"/>
      <c r="M11" s="1178" t="e">
        <f>+#REF!</f>
        <v>#REF!</v>
      </c>
      <c r="N11" s="1183" t="str">
        <f>+Tabla35[[#Headers],[Enero - Abril 2025]]</f>
        <v>Enero - Abril 2025</v>
      </c>
      <c r="P11" s="1470">
        <f>79.4+11+5.8+3.8</f>
        <v>100</v>
      </c>
    </row>
    <row r="12" spans="1:22">
      <c r="A12" s="2302"/>
      <c r="B12" s="2302"/>
      <c r="C12" s="2302"/>
      <c r="D12" s="2302"/>
      <c r="E12" s="2302"/>
      <c r="F12" s="2302"/>
      <c r="G12" s="2302"/>
      <c r="H12" s="2302"/>
      <c r="I12" s="2302"/>
      <c r="J12" s="2302"/>
      <c r="L12" s="1179"/>
    </row>
    <row r="13" spans="1:22">
      <c r="A13" s="2302"/>
      <c r="B13" s="2302"/>
      <c r="C13" s="2302"/>
      <c r="D13" s="2302"/>
      <c r="E13" s="2302"/>
      <c r="F13" s="2302"/>
      <c r="G13" s="2302"/>
      <c r="H13" s="2302"/>
      <c r="I13" s="2302"/>
      <c r="J13" s="2302"/>
      <c r="L13" s="1182"/>
      <c r="M13" s="1183" t="s">
        <v>1030</v>
      </c>
      <c r="Q13" s="1178"/>
      <c r="R13" s="1178"/>
      <c r="S13" s="1178"/>
      <c r="T13" s="1178"/>
      <c r="U13" s="494"/>
      <c r="V13" s="494"/>
    </row>
    <row r="14" spans="1:22">
      <c r="A14" s="2302"/>
      <c r="B14" s="2302"/>
      <c r="C14" s="2302"/>
      <c r="D14" s="2302"/>
      <c r="E14" s="2302"/>
      <c r="F14" s="2302"/>
      <c r="G14" s="2302"/>
      <c r="H14" s="2302"/>
      <c r="I14" s="2302"/>
      <c r="J14" s="2302"/>
      <c r="L14" s="1182"/>
      <c r="M14" s="1184" t="str">
        <f>+Tabla35[[#Headers],[Total]]</f>
        <v>Total</v>
      </c>
      <c r="N14" s="1184" t="s">
        <v>266</v>
      </c>
      <c r="Q14" s="1178"/>
      <c r="R14" s="1178"/>
      <c r="S14" s="1178"/>
      <c r="T14" s="1178"/>
      <c r="U14" s="494"/>
      <c r="V14" s="494"/>
    </row>
    <row r="15" spans="1:22">
      <c r="A15" s="2302"/>
      <c r="B15" s="2302"/>
      <c r="C15" s="2302"/>
      <c r="D15" s="2302"/>
      <c r="E15" s="2302"/>
      <c r="F15" s="2302"/>
      <c r="G15" s="2302"/>
      <c r="H15" s="2302"/>
      <c r="I15" s="2302"/>
      <c r="J15" s="2302"/>
      <c r="L15" s="1185" t="s">
        <v>1031</v>
      </c>
      <c r="M15" s="1185">
        <f>+'IV.3.3.Pagos anuales x cuentas'!F5</f>
        <v>246377169456.43002</v>
      </c>
      <c r="N15" s="1186">
        <f>+M15/$M$24</f>
        <v>0.81160894042640941</v>
      </c>
      <c r="Q15" s="1178"/>
      <c r="R15" s="1178"/>
      <c r="S15" s="1178"/>
      <c r="T15" s="1178"/>
      <c r="U15" s="494"/>
      <c r="V15" s="494"/>
    </row>
    <row r="16" spans="1:22">
      <c r="A16" s="2302"/>
      <c r="B16" s="2302"/>
      <c r="C16" s="2302"/>
      <c r="D16" s="2302"/>
      <c r="E16" s="2302"/>
      <c r="F16" s="2302"/>
      <c r="G16" s="2302"/>
      <c r="H16" s="2302"/>
      <c r="I16" s="2302"/>
      <c r="J16" s="2302"/>
      <c r="L16" s="1185" t="str">
        <f>+'IV.3.3.Pagos anuales x cuentas'!A6</f>
        <v>Sistema de Reparto</v>
      </c>
      <c r="M16" s="1185">
        <f>+'IV.3.3.Pagos anuales x cuentas'!F6</f>
        <v>11161900350.859999</v>
      </c>
      <c r="N16" s="1186">
        <f t="shared" ref="N16:N24" si="0">+M16/$M$24</f>
        <v>3.6769227184861725E-2</v>
      </c>
      <c r="Q16" s="1178"/>
      <c r="R16" s="1178"/>
      <c r="S16" s="1178"/>
      <c r="T16" s="1178"/>
      <c r="U16" s="494"/>
      <c r="V16" s="494"/>
    </row>
    <row r="17" spans="1:22" ht="69.75">
      <c r="A17" s="2302"/>
      <c r="B17" s="2302"/>
      <c r="C17" s="2302"/>
      <c r="D17" s="2302"/>
      <c r="E17" s="2302"/>
      <c r="F17" s="2302"/>
      <c r="G17" s="2302"/>
      <c r="H17" s="2302"/>
      <c r="I17" s="2302"/>
      <c r="J17" s="2302"/>
      <c r="L17" s="1185" t="str">
        <f>+'IV.3.3.Pagos anuales x cuentas'!A7</f>
        <v>Seguro Vida</v>
      </c>
      <c r="M17" s="1185">
        <f>+'IV.3.3.Pagos anuales x cuentas'!F7</f>
        <v>25539330834.059998</v>
      </c>
      <c r="N17" s="1186">
        <f t="shared" si="0"/>
        <v>8.4130965881140801E-2</v>
      </c>
      <c r="P17" s="1712" t="s">
        <v>1032</v>
      </c>
      <c r="Q17" s="1712" t="s">
        <v>235</v>
      </c>
      <c r="R17" s="1713" t="s">
        <v>266</v>
      </c>
      <c r="S17" s="1178"/>
      <c r="T17" s="1178"/>
      <c r="U17" s="494"/>
      <c r="V17" s="494"/>
    </row>
    <row r="18" spans="1:22">
      <c r="A18" s="2302"/>
      <c r="B18" s="2302"/>
      <c r="C18" s="2302"/>
      <c r="D18" s="2302"/>
      <c r="E18" s="2302"/>
      <c r="F18" s="2302"/>
      <c r="G18" s="2302"/>
      <c r="H18" s="2302"/>
      <c r="I18" s="2302"/>
      <c r="J18" s="2302"/>
      <c r="L18" s="1185" t="str">
        <f>+'IV.3.3.Pagos anuales x cuentas'!A8</f>
        <v>Autoseguro IDSS</v>
      </c>
      <c r="M18" s="1185">
        <f>+'IV.3.3.Pagos anuales x cuentas'!F8</f>
        <v>1108367068.0899999</v>
      </c>
      <c r="N18" s="1186">
        <f t="shared" si="0"/>
        <v>3.6511525143368912E-3</v>
      </c>
      <c r="P18" s="1714" t="s">
        <v>896</v>
      </c>
      <c r="Q18" s="1455">
        <v>1108995173903.51</v>
      </c>
      <c r="R18" s="1715">
        <v>0.79381146885272347</v>
      </c>
      <c r="S18" s="1178"/>
      <c r="T18" s="1178"/>
      <c r="U18" s="494"/>
      <c r="V18" s="494"/>
    </row>
    <row r="19" spans="1:22">
      <c r="A19" s="2302"/>
      <c r="B19" s="2302"/>
      <c r="C19" s="2302"/>
      <c r="D19" s="2302"/>
      <c r="E19" s="2302"/>
      <c r="F19" s="2302"/>
      <c r="G19" s="2302"/>
      <c r="H19" s="2302"/>
      <c r="I19" s="2302"/>
      <c r="J19" s="2302"/>
      <c r="L19" s="1185" t="str">
        <f>+'IV.3.3.Pagos anuales x cuentas'!A9</f>
        <v>Comisión AFP</v>
      </c>
      <c r="M19" s="1185">
        <f>+'IV.3.3.Pagos anuales x cuentas'!F9</f>
        <v>1930019822.6100001</v>
      </c>
      <c r="N19" s="1186">
        <f t="shared" si="0"/>
        <v>6.3578185701475025E-3</v>
      </c>
      <c r="P19" s="1714" t="s">
        <v>217</v>
      </c>
      <c r="Q19" s="1455">
        <v>156750380832.04999</v>
      </c>
      <c r="R19" s="1715">
        <v>0.11220089408823672</v>
      </c>
      <c r="S19" s="1178"/>
      <c r="T19" s="1178"/>
      <c r="U19" s="494"/>
      <c r="V19" s="494"/>
    </row>
    <row r="20" spans="1:22">
      <c r="A20" s="2302"/>
      <c r="B20" s="2302"/>
      <c r="C20" s="2302"/>
      <c r="D20" s="2302"/>
      <c r="E20" s="2302"/>
      <c r="F20" s="2302"/>
      <c r="G20" s="2302"/>
      <c r="H20" s="2302"/>
      <c r="I20" s="2302"/>
      <c r="J20" s="2302"/>
      <c r="L20" s="1185" t="str">
        <f>+'IV.3.3.Pagos anuales x cuentas'!A10</f>
        <v>Comision SIPEN</v>
      </c>
      <c r="M20" s="1185">
        <f>+'IV.3.3.Pagos anuales x cuentas'!F10</f>
        <v>2035338588.1199999</v>
      </c>
      <c r="N20" s="1186">
        <f t="shared" si="0"/>
        <v>6.7047567701080486E-3</v>
      </c>
      <c r="P20" s="1714" t="s">
        <v>216</v>
      </c>
      <c r="Q20" s="1455">
        <v>81484676919.089996</v>
      </c>
      <c r="R20" s="1715">
        <v>5.8326197080241164E-2</v>
      </c>
      <c r="S20" s="1178"/>
      <c r="T20" s="1178"/>
      <c r="U20" s="494"/>
      <c r="V20" s="494"/>
    </row>
    <row r="21" spans="1:22">
      <c r="A21" s="2302"/>
      <c r="B21" s="2302"/>
      <c r="C21" s="2302"/>
      <c r="D21" s="2302"/>
      <c r="E21" s="2302"/>
      <c r="F21" s="2302"/>
      <c r="G21" s="2302"/>
      <c r="H21" s="2302"/>
      <c r="I21" s="2302"/>
      <c r="J21" s="2302"/>
      <c r="L21" s="1185" t="str">
        <f>+'IV.3.3.Pagos anuales x cuentas'!A11</f>
        <v>Fondos de solidaridad social (FSS)</v>
      </c>
      <c r="M21" s="1185">
        <f>+'IV.3.3.Pagos anuales x cuentas'!F11</f>
        <v>11630361006.039999</v>
      </c>
      <c r="N21" s="1186">
        <f t="shared" si="0"/>
        <v>3.8312417476482223E-2</v>
      </c>
      <c r="P21" s="1714" t="s">
        <v>899</v>
      </c>
      <c r="Q21" s="1455">
        <v>49729221423.57</v>
      </c>
      <c r="R21" s="1715">
        <v>3.5595850398697108E-2</v>
      </c>
      <c r="S21" s="1178"/>
      <c r="T21" s="1178"/>
      <c r="U21" s="494"/>
      <c r="V21" s="494"/>
    </row>
    <row r="22" spans="1:22">
      <c r="A22" s="2302"/>
      <c r="B22" s="2302"/>
      <c r="C22" s="2302"/>
      <c r="D22" s="2302"/>
      <c r="E22" s="2302"/>
      <c r="F22" s="2302"/>
      <c r="G22" s="2302"/>
      <c r="H22" s="2302"/>
      <c r="I22" s="2302"/>
      <c r="J22" s="2302"/>
      <c r="L22" s="1185" t="str">
        <f>+'IV.3.3.Pagos anuales x cuentas'!A12</f>
        <v>Operación TSS</v>
      </c>
      <c r="M22" s="1185">
        <f>+'IV.3.3.Pagos anuales x cuentas'!F12</f>
        <v>2522561559.2600002</v>
      </c>
      <c r="N22" s="1186">
        <f t="shared" si="0"/>
        <v>8.3097533703643586E-3</v>
      </c>
      <c r="P22" s="1714" t="s">
        <v>214</v>
      </c>
      <c r="Q22" s="1455">
        <v>91631994.049999997</v>
      </c>
      <c r="R22" s="1715">
        <v>6.5589580101331675E-5</v>
      </c>
      <c r="S22" s="1178"/>
      <c r="T22" s="1178"/>
      <c r="U22" s="494"/>
      <c r="V22" s="494"/>
    </row>
    <row r="23" spans="1:22">
      <c r="A23" s="2302"/>
      <c r="B23" s="2302"/>
      <c r="C23" s="2302"/>
      <c r="D23" s="2302"/>
      <c r="E23" s="2302"/>
      <c r="F23" s="2302"/>
      <c r="G23" s="2302"/>
      <c r="H23" s="2302"/>
      <c r="I23" s="2302"/>
      <c r="J23" s="2302"/>
      <c r="L23" s="1185" t="str">
        <f>+'IV.3.3.Pagos anuales x cuentas'!A13</f>
        <v>Operación DIDA</v>
      </c>
      <c r="M23" s="1185">
        <f>+'IV.3.3.Pagos anuales x cuentas'!F13</f>
        <v>1261308440.8899999</v>
      </c>
      <c r="N23" s="1186">
        <f t="shared" si="0"/>
        <v>4.1549678061491456E-3</v>
      </c>
      <c r="P23" s="1716" t="s">
        <v>235</v>
      </c>
      <c r="Q23" s="1717">
        <v>1397051085072.2703</v>
      </c>
      <c r="R23" s="1718">
        <v>1</v>
      </c>
      <c r="S23" s="1178"/>
      <c r="T23" s="1178"/>
      <c r="U23" s="494"/>
      <c r="V23" s="494"/>
    </row>
    <row r="24" spans="1:22">
      <c r="A24" s="2302"/>
      <c r="B24" s="2302"/>
      <c r="C24" s="2302"/>
      <c r="D24" s="2302"/>
      <c r="E24" s="2302"/>
      <c r="F24" s="2302"/>
      <c r="G24" s="2302"/>
      <c r="H24" s="2302"/>
      <c r="I24" s="2302"/>
      <c r="J24" s="2302"/>
      <c r="L24" s="1185" t="str">
        <f>+'IV.3.3.Pagos anuales x cuentas'!A14</f>
        <v>Total</v>
      </c>
      <c r="M24" s="1185">
        <f>+'IV.3.3.Pagos anuales x cuentas'!F14</f>
        <v>303566357126.35999</v>
      </c>
      <c r="N24" s="1186">
        <f t="shared" si="0"/>
        <v>1</v>
      </c>
      <c r="P24" s="1714" t="s">
        <v>1033</v>
      </c>
      <c r="Q24" s="1714"/>
      <c r="R24" s="1714"/>
    </row>
    <row r="25" spans="1:22">
      <c r="A25" s="2302"/>
      <c r="B25" s="2302"/>
      <c r="C25" s="2302"/>
      <c r="D25" s="2302"/>
      <c r="E25" s="2302"/>
      <c r="F25" s="2302"/>
      <c r="G25" s="2302"/>
      <c r="H25" s="2302"/>
      <c r="I25" s="2302"/>
      <c r="J25" s="2302"/>
      <c r="K25" s="1178"/>
      <c r="L25" s="1178"/>
      <c r="M25" s="1178">
        <f>+M24-'IV.3.3.Pagos anuales x cuentas'!F14</f>
        <v>0</v>
      </c>
    </row>
    <row r="26" spans="1:22" ht="24" customHeight="1">
      <c r="A26" s="2302"/>
      <c r="B26" s="2302"/>
      <c r="C26" s="2302"/>
      <c r="D26" s="2302"/>
      <c r="E26" s="2302"/>
      <c r="F26" s="2302"/>
      <c r="G26" s="2302"/>
      <c r="H26" s="2302"/>
      <c r="I26" s="2302"/>
      <c r="J26" s="2302"/>
      <c r="L26" s="1193">
        <f>+'IV.3.5.Patrim. fp anual'!B22*1000000</f>
        <v>1455467247107.3999</v>
      </c>
      <c r="M26" s="1186">
        <f>+M21/L26</f>
        <v>7.9908091570966063E-3</v>
      </c>
      <c r="N26" s="1187"/>
    </row>
    <row r="27" spans="1:22">
      <c r="A27" s="2302"/>
      <c r="B27" s="2302"/>
      <c r="C27" s="2302"/>
      <c r="D27" s="2302"/>
      <c r="E27" s="2302"/>
      <c r="F27" s="2302"/>
      <c r="G27" s="2302"/>
      <c r="H27" s="2302"/>
      <c r="I27" s="2302"/>
      <c r="J27" s="2302"/>
      <c r="L27" s="1193">
        <f>+'IV.3.5.Patrim. fp anual'!B22</f>
        <v>1455467.2471073999</v>
      </c>
      <c r="M27" s="1186">
        <f>+'IV.3.5.Patrim. fp anual'!E22</f>
        <v>0.21341101712787752</v>
      </c>
      <c r="N27" s="1187"/>
    </row>
    <row r="28" spans="1:22">
      <c r="A28" s="2302"/>
      <c r="B28" s="2302"/>
      <c r="C28" s="2302"/>
      <c r="D28" s="2302"/>
      <c r="E28" s="2302"/>
      <c r="F28" s="2302"/>
      <c r="G28" s="2302"/>
      <c r="H28" s="2302"/>
      <c r="I28" s="2302"/>
      <c r="J28" s="2302"/>
      <c r="M28" s="1188"/>
      <c r="N28" s="1188"/>
    </row>
    <row r="29" spans="1:22">
      <c r="A29" s="2302"/>
      <c r="B29" s="2302"/>
      <c r="C29" s="2302"/>
      <c r="D29" s="2302"/>
      <c r="E29" s="2302"/>
      <c r="F29" s="2302"/>
      <c r="G29" s="2302"/>
      <c r="H29" s="2302"/>
      <c r="I29" s="2302"/>
      <c r="J29" s="2302"/>
      <c r="L29" s="1189"/>
      <c r="M29" s="1189"/>
      <c r="N29" s="1189"/>
      <c r="O29" s="1190"/>
    </row>
    <row r="30" spans="1:22">
      <c r="A30" s="2302"/>
      <c r="B30" s="2302"/>
      <c r="C30" s="2302"/>
      <c r="D30" s="2302"/>
      <c r="E30" s="2302"/>
      <c r="F30" s="2302"/>
      <c r="G30" s="2302"/>
      <c r="H30" s="2302"/>
      <c r="I30" s="2302"/>
      <c r="J30" s="2302"/>
      <c r="L30" s="1189" t="str">
        <f>+Tabla4112[[#Headers],[Entidades]]</f>
        <v>Entidades</v>
      </c>
      <c r="M30" s="1189" t="str">
        <f>+Tabla4112[[#Headers],[Inversión ]]</f>
        <v xml:space="preserve">Inversión </v>
      </c>
      <c r="N30" s="1189" t="str">
        <f>+Tabla4112[[#Headers],[% Participación]]</f>
        <v>% Participación</v>
      </c>
      <c r="O30" s="1190"/>
      <c r="P30" s="1193"/>
    </row>
    <row r="31" spans="1:22">
      <c r="A31" s="2302"/>
      <c r="B31" s="2302"/>
      <c r="C31" s="2302"/>
      <c r="D31" s="2302"/>
      <c r="E31" s="2302"/>
      <c r="F31" s="2302"/>
      <c r="G31" s="2302"/>
      <c r="H31" s="2302"/>
      <c r="I31" s="2302"/>
      <c r="J31" s="2302"/>
      <c r="L31" s="1178" t="str">
        <f>+'IV.3.6.Cartera de inv fp'!A5</f>
        <v>Ministerio de Hacienda</v>
      </c>
      <c r="M31" s="1193">
        <f>+'IV.3.6.Cartera de inv fp'!B5</f>
        <v>604193862191.69995</v>
      </c>
      <c r="N31" s="1719">
        <f>+'IV.3.6.Cartera de inv fp'!C5</f>
        <v>0.4864189609023078</v>
      </c>
      <c r="O31" s="1190"/>
      <c r="P31" s="1193"/>
    </row>
    <row r="32" spans="1:22">
      <c r="A32" s="2302"/>
      <c r="B32" s="2302"/>
      <c r="C32" s="2302"/>
      <c r="D32" s="2302"/>
      <c r="E32" s="2302"/>
      <c r="F32" s="2302"/>
      <c r="G32" s="2302"/>
      <c r="H32" s="2302"/>
      <c r="I32" s="2302"/>
      <c r="J32" s="2302"/>
      <c r="L32" s="1178" t="str">
        <f>+'IV.3.6.Cartera de inv fp'!A6</f>
        <v>Banco Central de la República Dominicana</v>
      </c>
      <c r="M32" s="1193">
        <f>+'IV.3.6.Cartera de inv fp'!B6</f>
        <v>243583964496.66</v>
      </c>
      <c r="N32" s="1719">
        <f>+'IV.3.6.Cartera de inv fp'!C6</f>
        <v>0.19610238752365408</v>
      </c>
      <c r="O32" s="1190"/>
      <c r="P32" s="1193"/>
    </row>
    <row r="33" spans="1:16">
      <c r="A33" s="2302"/>
      <c r="B33" s="2302"/>
      <c r="C33" s="2302"/>
      <c r="D33" s="2302"/>
      <c r="E33" s="2302"/>
      <c r="F33" s="2302"/>
      <c r="G33" s="2302"/>
      <c r="H33" s="2302"/>
      <c r="I33" s="2302"/>
      <c r="J33" s="2302"/>
      <c r="L33" s="1178" t="str">
        <f>+'IV.3.6.Cartera de inv fp'!A7</f>
        <v>Bancos Múltiples</v>
      </c>
      <c r="M33" s="1193">
        <f>+'IV.3.6.Cartera de inv fp'!B7</f>
        <v>91024126361.479996</v>
      </c>
      <c r="N33" s="1192">
        <f>+'IV.3.6.Cartera de inv fp'!C7</f>
        <v>7.3280885047692729E-2</v>
      </c>
      <c r="O33" s="1190"/>
      <c r="P33" s="1193"/>
    </row>
    <row r="34" spans="1:16">
      <c r="A34" s="2302"/>
      <c r="B34" s="2302"/>
      <c r="C34" s="2302"/>
      <c r="D34" s="2302"/>
      <c r="E34" s="2302"/>
      <c r="F34" s="2302"/>
      <c r="G34" s="2302"/>
      <c r="H34" s="2302"/>
      <c r="I34" s="2302"/>
      <c r="J34" s="2302"/>
      <c r="L34" s="1178" t="str">
        <f>+'IV.3.6.Cartera de inv fp'!A8</f>
        <v>Asociaciones de Ahorros y Préstamos</v>
      </c>
      <c r="M34" s="1193">
        <f>+'IV.3.6.Cartera de inv fp'!B8</f>
        <v>22794191710.690002</v>
      </c>
      <c r="N34" s="1192">
        <f>+'IV.3.6.Cartera de inv fp'!C8</f>
        <v>1.8350942868406623E-2</v>
      </c>
      <c r="O34" s="1190"/>
      <c r="P34" s="333"/>
    </row>
    <row r="35" spans="1:16">
      <c r="A35" s="2302"/>
      <c r="B35" s="2302"/>
      <c r="C35" s="2302"/>
      <c r="D35" s="2302"/>
      <c r="E35" s="2302"/>
      <c r="F35" s="2302"/>
      <c r="G35" s="2302"/>
      <c r="H35" s="2302"/>
      <c r="I35" s="2302"/>
      <c r="J35" s="2302"/>
      <c r="L35" s="1178" t="str">
        <f>+'IV.3.6.Cartera de inv fp'!A9</f>
        <v>Bancos de Ahorro y Crédito</v>
      </c>
      <c r="M35" s="1193">
        <f>+'IV.3.6.Cartera de inv fp'!B9</f>
        <v>578528909</v>
      </c>
      <c r="N35" s="1192">
        <f>+'IV.3.6.Cartera de inv fp'!C9</f>
        <v>4.6575685119826693E-4</v>
      </c>
      <c r="O35" s="1193"/>
      <c r="P35" s="333"/>
    </row>
    <row r="36" spans="1:16">
      <c r="A36" s="2302"/>
      <c r="B36" s="2302"/>
      <c r="C36" s="2302"/>
      <c r="D36" s="2302"/>
      <c r="E36" s="2302"/>
      <c r="F36" s="2302"/>
      <c r="G36" s="2302"/>
      <c r="H36" s="2302"/>
      <c r="I36" s="2302"/>
      <c r="J36" s="2302"/>
      <c r="L36" s="1178" t="str">
        <f>+'IV.3.6.Cartera de inv fp'!A10</f>
        <v>Empresas Privadas</v>
      </c>
      <c r="M36" s="1193">
        <f>+'IV.3.6.Cartera de inv fp'!B10</f>
        <v>28366297022.850002</v>
      </c>
      <c r="N36" s="1192">
        <f>+'IV.3.6.Cartera de inv fp'!C10</f>
        <v>2.2836883301742474E-2</v>
      </c>
      <c r="O36" s="1193"/>
      <c r="P36" s="333"/>
    </row>
    <row r="37" spans="1:16">
      <c r="A37" s="2302"/>
      <c r="B37" s="2302"/>
      <c r="C37" s="2302"/>
      <c r="D37" s="2302"/>
      <c r="E37" s="2302"/>
      <c r="F37" s="2302"/>
      <c r="G37" s="2302"/>
      <c r="H37" s="2302"/>
      <c r="I37" s="2302"/>
      <c r="J37" s="2302"/>
      <c r="L37" s="1178" t="str">
        <f>+'IV.3.6.Cartera de inv fp'!A11</f>
        <v>Fideicomisos de Oferta Pública</v>
      </c>
      <c r="M37" s="1193">
        <f>+'IV.3.6.Cartera de inv fp'!B11</f>
        <v>56667099670.329994</v>
      </c>
      <c r="N37" s="1192">
        <f>+'IV.3.6.Cartera de inv fp'!C11</f>
        <v>4.5621038980769843E-2</v>
      </c>
      <c r="O37" s="1193"/>
      <c r="P37" s="333"/>
    </row>
    <row r="38" spans="1:16">
      <c r="A38" s="2302"/>
      <c r="B38" s="2302"/>
      <c r="C38" s="2302"/>
      <c r="D38" s="2302"/>
      <c r="E38" s="2302"/>
      <c r="F38" s="2302"/>
      <c r="G38" s="2302"/>
      <c r="H38" s="2302"/>
      <c r="I38" s="2302"/>
      <c r="J38" s="2302"/>
      <c r="L38" s="1178" t="str">
        <f>+'IV.3.6.Cartera de inv fp'!A12</f>
        <v>Fondos de Inversión</v>
      </c>
      <c r="M38" s="1193">
        <f>+'IV.3.6.Cartera de inv fp'!B12</f>
        <v>194918390067.44998</v>
      </c>
      <c r="N38" s="1192">
        <f>+'IV.3.6.Cartera de inv fp'!C12</f>
        <v>0.15692314452422818</v>
      </c>
      <c r="P38" s="333"/>
    </row>
    <row r="39" spans="1:16">
      <c r="A39" s="2302"/>
      <c r="B39" s="2302"/>
      <c r="C39" s="2302"/>
      <c r="D39" s="2302"/>
      <c r="E39" s="2302"/>
      <c r="F39" s="2302"/>
      <c r="G39" s="2302"/>
      <c r="H39" s="2302"/>
      <c r="I39" s="2302"/>
      <c r="J39" s="2302"/>
      <c r="K39" s="495"/>
      <c r="L39" s="1189" t="str">
        <f>+'IV.3.6.Cartera de inv fp'!A13</f>
        <v>TOTAL</v>
      </c>
      <c r="M39" s="1318">
        <f>+'IV.3.6.Cartera de inv fp'!B13</f>
        <v>1242126460430.1599</v>
      </c>
      <c r="N39" s="1194">
        <f>+'IV.3.6.Cartera de inv fp'!C13</f>
        <v>1</v>
      </c>
      <c r="P39" s="333"/>
    </row>
    <row r="40" spans="1:16">
      <c r="A40" s="2302"/>
      <c r="B40" s="2302"/>
      <c r="C40" s="2302"/>
      <c r="D40" s="2302"/>
      <c r="E40" s="2302"/>
      <c r="F40" s="2302"/>
      <c r="G40" s="2302"/>
      <c r="H40" s="2302"/>
      <c r="I40" s="2302"/>
      <c r="J40" s="2302"/>
      <c r="K40" s="495"/>
      <c r="L40" s="1178"/>
      <c r="M40" s="1191"/>
      <c r="N40" s="1195"/>
      <c r="O40" s="1189"/>
      <c r="P40" s="333"/>
    </row>
    <row r="41" spans="1:16">
      <c r="A41" s="2302"/>
      <c r="B41" s="2302"/>
      <c r="C41" s="2302"/>
      <c r="D41" s="2302"/>
      <c r="E41" s="2302"/>
      <c r="F41" s="2302"/>
      <c r="G41" s="2302"/>
      <c r="H41" s="2302"/>
      <c r="I41" s="2302"/>
      <c r="J41" s="2302"/>
      <c r="K41" s="495"/>
      <c r="N41" s="1196"/>
      <c r="P41" s="333"/>
    </row>
    <row r="42" spans="1:16">
      <c r="A42" s="2302"/>
      <c r="B42" s="2302"/>
      <c r="C42" s="2302"/>
      <c r="D42" s="2302"/>
      <c r="E42" s="2302"/>
      <c r="F42" s="2302"/>
      <c r="G42" s="2302"/>
      <c r="H42" s="2302"/>
      <c r="I42" s="2302"/>
      <c r="J42" s="2302"/>
      <c r="K42" s="495"/>
      <c r="L42" s="1197" t="str">
        <f>+Tabla39[[#Headers],[Promedio CCI ]]</f>
        <v xml:space="preserve">Promedio CCI </v>
      </c>
      <c r="M42" s="1198">
        <f>+'IV.3.7. Rent. nom. de los FP'!B41</f>
        <v>9.4E-2</v>
      </c>
      <c r="P42" s="333"/>
    </row>
    <row r="43" spans="1:16">
      <c r="A43" s="2302"/>
      <c r="B43" s="2302"/>
      <c r="C43" s="2302"/>
      <c r="D43" s="2302"/>
      <c r="E43" s="2302"/>
      <c r="F43" s="2302"/>
      <c r="G43" s="2302"/>
      <c r="H43" s="2302"/>
      <c r="I43" s="2302"/>
      <c r="J43" s="2302"/>
      <c r="K43" s="496"/>
      <c r="L43" s="1197" t="str">
        <f>+Tabla39[[#Headers],[Promedio Sistema]]</f>
        <v>Promedio Sistema</v>
      </c>
      <c r="M43" s="1198">
        <f>+'IV.3.7. Rent. nom. de los FP'!C41</f>
        <v>9.6000000000000002E-2</v>
      </c>
      <c r="P43" s="333"/>
    </row>
    <row r="44" spans="1:16">
      <c r="A44" s="2302"/>
      <c r="B44" s="2302"/>
      <c r="C44" s="2302"/>
      <c r="D44" s="2302"/>
      <c r="E44" s="2302"/>
      <c r="F44" s="2302"/>
      <c r="G44" s="2302"/>
      <c r="H44" s="2302"/>
      <c r="I44" s="2302"/>
      <c r="J44" s="2302"/>
      <c r="K44" s="496"/>
      <c r="L44" s="1197" t="str">
        <f>+Tabla38[[#Headers],[Rentabilidad Real]]</f>
        <v>Rentabilidad Real</v>
      </c>
      <c r="M44" s="1198">
        <f>+'IV.3.8.Rentab.Real'!D23</f>
        <v>5.8900000000000001E-2</v>
      </c>
    </row>
    <row r="45" spans="1:16">
      <c r="A45" s="2302"/>
      <c r="B45" s="2302"/>
      <c r="C45" s="2302"/>
      <c r="D45" s="2302"/>
      <c r="E45" s="2302"/>
      <c r="F45" s="2302"/>
      <c r="G45" s="2302"/>
      <c r="H45" s="2302"/>
      <c r="I45" s="2302"/>
      <c r="J45" s="2302"/>
      <c r="K45" s="496"/>
      <c r="M45" s="1196"/>
    </row>
    <row r="46" spans="1:16">
      <c r="A46" s="2302"/>
      <c r="B46" s="2302"/>
      <c r="C46" s="2302"/>
      <c r="D46" s="2302"/>
      <c r="E46" s="2302"/>
      <c r="F46" s="2302"/>
      <c r="G46" s="2302"/>
      <c r="H46" s="2302"/>
      <c r="I46" s="2302"/>
      <c r="J46" s="2302"/>
      <c r="K46" s="497"/>
      <c r="M46" s="1196"/>
    </row>
    <row r="47" spans="1:16" ht="36" customHeight="1">
      <c r="A47" s="2302"/>
      <c r="B47" s="2302"/>
      <c r="C47" s="2302"/>
      <c r="D47" s="2302"/>
      <c r="E47" s="2302"/>
      <c r="F47" s="2302"/>
      <c r="G47" s="2302"/>
      <c r="H47" s="2302"/>
      <c r="I47" s="2302"/>
      <c r="J47" s="2302"/>
      <c r="K47" s="498"/>
    </row>
    <row r="48" spans="1:16" ht="36" customHeight="1">
      <c r="A48" s="2302"/>
      <c r="B48" s="2302"/>
      <c r="C48" s="2302"/>
      <c r="D48" s="2302"/>
      <c r="E48" s="2302"/>
      <c r="F48" s="2302"/>
      <c r="G48" s="2302"/>
      <c r="H48" s="2302"/>
      <c r="I48" s="2302"/>
      <c r="J48" s="2302"/>
      <c r="K48" s="404"/>
    </row>
    <row r="49" spans="1:10" ht="36" customHeight="1">
      <c r="A49" s="2302"/>
      <c r="B49" s="2302"/>
      <c r="C49" s="2302"/>
      <c r="D49" s="2302"/>
      <c r="E49" s="2302"/>
      <c r="F49" s="2302"/>
      <c r="G49" s="2302"/>
      <c r="H49" s="2302"/>
      <c r="I49" s="2302"/>
      <c r="J49" s="2302"/>
    </row>
    <row r="50" spans="1:10" ht="36" customHeight="1">
      <c r="A50" s="2302"/>
      <c r="B50" s="2302"/>
      <c r="C50" s="2302"/>
      <c r="D50" s="2302"/>
      <c r="E50" s="2302"/>
      <c r="F50" s="2302"/>
      <c r="G50" s="2302"/>
      <c r="H50" s="2302"/>
      <c r="I50" s="2302"/>
      <c r="J50" s="2302"/>
    </row>
    <row r="51" spans="1:10" ht="36" customHeight="1">
      <c r="A51" s="2302"/>
      <c r="B51" s="2302"/>
      <c r="C51" s="2302"/>
      <c r="D51" s="2302"/>
      <c r="E51" s="2302"/>
      <c r="F51" s="2302"/>
      <c r="G51" s="2302"/>
      <c r="H51" s="2302"/>
      <c r="I51" s="2302"/>
      <c r="J51" s="2302"/>
    </row>
    <row r="52" spans="1:10" ht="36" customHeight="1">
      <c r="A52" s="2302"/>
      <c r="B52" s="2302"/>
      <c r="C52" s="2302"/>
      <c r="D52" s="2302"/>
      <c r="E52" s="2302"/>
      <c r="F52" s="2302"/>
      <c r="G52" s="2302"/>
      <c r="H52" s="2302"/>
      <c r="I52" s="2302"/>
      <c r="J52" s="2302"/>
    </row>
    <row r="53" spans="1:10" ht="20.25" customHeight="1"/>
  </sheetData>
  <mergeCells count="1">
    <mergeCell ref="A6:J52"/>
  </mergeCells>
  <conditionalFormatting sqref="P23">
    <cfRule type="cellIs" dxfId="278" priority="4" operator="equal">
      <formula>0</formula>
    </cfRule>
  </conditionalFormatting>
  <conditionalFormatting sqref="P17:Q23">
    <cfRule type="cellIs" dxfId="277" priority="5" operator="equal">
      <formula>0</formula>
    </cfRule>
  </conditionalFormatting>
  <conditionalFormatting sqref="Q18:Q23">
    <cfRule type="cellIs" dxfId="276" priority="6" operator="equal">
      <formula>0</formula>
    </cfRule>
  </conditionalFormatting>
  <conditionalFormatting sqref="R23">
    <cfRule type="cellIs" dxfId="275" priority="2" operator="equal">
      <formula>0</formula>
    </cfRule>
    <cfRule type="cellIs" dxfId="274" priority="3" operator="equal">
      <formula>0</formula>
    </cfRule>
  </conditionalFormatting>
  <conditionalFormatting sqref="P24:R24">
    <cfRule type="cellIs" dxfId="273"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1">
    <tabColor theme="8" tint="-0.249977111117893"/>
    <pageSetUpPr fitToPage="1"/>
  </sheetPr>
  <dimension ref="A1:I42"/>
  <sheetViews>
    <sheetView showGridLines="0" view="pageBreakPreview" zoomScale="55" zoomScaleNormal="85" zoomScaleSheetLayoutView="55" workbookViewId="0">
      <selection activeCell="D10" sqref="D10"/>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540" customFormat="1" ht="84.75" customHeight="1">
      <c r="A1" s="2303" t="s">
        <v>1034</v>
      </c>
      <c r="B1" s="2303"/>
      <c r="C1" s="2303"/>
      <c r="D1" s="2303"/>
      <c r="E1" s="2303"/>
      <c r="F1" s="2303"/>
      <c r="G1" s="2303"/>
      <c r="H1" s="2303"/>
      <c r="I1" s="2303"/>
    </row>
    <row r="2" spans="1:9" s="540" customFormat="1" ht="43.5" customHeight="1">
      <c r="A2" s="2299" t="s">
        <v>936</v>
      </c>
      <c r="B2" s="2299"/>
      <c r="C2" s="2299"/>
      <c r="D2" s="2299"/>
      <c r="E2" s="2299"/>
      <c r="F2" s="2299"/>
      <c r="G2" s="2299"/>
      <c r="H2" s="2299"/>
      <c r="I2" s="2299"/>
    </row>
    <row r="3" spans="1:9" ht="17.25" customHeight="1"/>
    <row r="4" spans="1:9" s="510" customFormat="1" ht="27.75" customHeight="1">
      <c r="A4" s="594" t="s">
        <v>562</v>
      </c>
      <c r="B4" s="596" t="s">
        <v>1035</v>
      </c>
      <c r="C4" s="524"/>
    </row>
    <row r="5" spans="1:9" s="79" customFormat="1" ht="27.75">
      <c r="A5" s="597" t="s">
        <v>447</v>
      </c>
      <c r="B5" s="598">
        <v>38018208331.940002</v>
      </c>
      <c r="C5" s="126"/>
    </row>
    <row r="6" spans="1:9" s="79" customFormat="1" ht="27.75">
      <c r="A6" s="597" t="s">
        <v>448</v>
      </c>
      <c r="B6" s="598">
        <v>42519520570.940002</v>
      </c>
      <c r="C6" s="126"/>
    </row>
    <row r="7" spans="1:9" s="79" customFormat="1" ht="27.75">
      <c r="A7" s="597" t="s">
        <v>449</v>
      </c>
      <c r="B7" s="976">
        <v>47463118892.330002</v>
      </c>
      <c r="C7" s="126"/>
      <c r="D7" s="125"/>
    </row>
    <row r="8" spans="1:9" s="79" customFormat="1" ht="27.75">
      <c r="A8" s="597" t="s">
        <v>450</v>
      </c>
      <c r="B8" s="976">
        <v>53637242684.989998</v>
      </c>
      <c r="C8" s="126"/>
      <c r="D8" s="125"/>
    </row>
    <row r="9" spans="1:9" s="79" customFormat="1" ht="27.75">
      <c r="A9" s="597" t="s">
        <v>451</v>
      </c>
      <c r="B9" s="976">
        <v>58492444764.089996</v>
      </c>
      <c r="C9" s="126"/>
      <c r="D9" s="125"/>
    </row>
    <row r="10" spans="1:9" s="79" customFormat="1" ht="27.75">
      <c r="A10" s="599">
        <v>2020</v>
      </c>
      <c r="B10" s="976">
        <v>57570980579.769997</v>
      </c>
      <c r="C10" s="126"/>
      <c r="D10" s="125"/>
    </row>
    <row r="11" spans="1:9" s="79" customFormat="1" ht="27.75">
      <c r="A11" s="599">
        <v>2021</v>
      </c>
      <c r="B11" s="976">
        <v>66464047805.599998</v>
      </c>
      <c r="C11" s="126"/>
      <c r="D11" s="125"/>
    </row>
    <row r="12" spans="1:9" s="79" customFormat="1" ht="27.75">
      <c r="A12" s="599">
        <v>2022</v>
      </c>
      <c r="B12" s="976">
        <v>80172200895.899994</v>
      </c>
      <c r="C12" s="126"/>
      <c r="D12" s="125"/>
    </row>
    <row r="13" spans="1:9" s="79" customFormat="1" ht="27.75">
      <c r="A13" s="599">
        <v>2023</v>
      </c>
      <c r="B13" s="976">
        <v>89113603543.490005</v>
      </c>
      <c r="C13" s="126"/>
      <c r="D13" s="125"/>
    </row>
    <row r="14" spans="1:9" s="79" customFormat="1" ht="27.75">
      <c r="A14" s="599">
        <v>2024</v>
      </c>
      <c r="B14" s="976">
        <v>99668069831.240005</v>
      </c>
      <c r="C14" s="126"/>
      <c r="D14" s="125"/>
    </row>
    <row r="15" spans="1:9" s="79" customFormat="1" ht="27.75">
      <c r="A15" s="599" t="str">
        <f>+'Resumen '!O6</f>
        <v>Abr.2025</v>
      </c>
      <c r="B15" s="976">
        <f>+'IV.3.3.Pagos anuales x cuentas'!E14</f>
        <v>34538897860.049995</v>
      </c>
      <c r="C15" s="78"/>
    </row>
    <row r="16" spans="1:9" ht="27.75">
      <c r="A16" s="595" t="s">
        <v>235</v>
      </c>
      <c r="B16" s="600">
        <f>SUM(B5:B15)</f>
        <v>667658335760.33997</v>
      </c>
      <c r="C16" s="1"/>
    </row>
    <row r="17" spans="1:7">
      <c r="A17" s="1"/>
      <c r="B17" s="1"/>
      <c r="C17" s="1"/>
      <c r="D17" s="1"/>
      <c r="E17" s="1"/>
      <c r="F17" s="120"/>
      <c r="G17" s="119"/>
    </row>
    <row r="18" spans="1:7">
      <c r="A18" s="1"/>
      <c r="B18" s="1"/>
      <c r="C18" s="1"/>
      <c r="D18" s="1"/>
      <c r="E18" s="1"/>
      <c r="F18" s="1"/>
      <c r="G18" s="119"/>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4">
    <tabColor theme="8" tint="-0.249977111117893"/>
    <pageSetUpPr fitToPage="1"/>
  </sheetPr>
  <dimension ref="A1:M40"/>
  <sheetViews>
    <sheetView showGridLines="0" view="pageBreakPreview" zoomScale="70" zoomScaleNormal="70" zoomScaleSheetLayoutView="70" workbookViewId="0">
      <pane xSplit="1" ySplit="4" topLeftCell="B5" activePane="bottomRight" state="frozen"/>
      <selection pane="bottomRight" activeCell="H14" sqref="H14"/>
      <selection pane="bottomLeft" activeCell="A6" sqref="A6:J27"/>
      <selection pane="topRight" activeCell="A6" sqref="A6:J27"/>
    </sheetView>
  </sheetViews>
  <sheetFormatPr defaultColWidth="11.5703125" defaultRowHeight="15"/>
  <cols>
    <col min="1" max="1" width="54.28515625" bestFit="1" customWidth="1"/>
    <col min="2" max="4" width="28.28515625" customWidth="1"/>
    <col min="5" max="5" width="31" customWidth="1"/>
    <col min="6" max="6" width="32.42578125" customWidth="1"/>
    <col min="7" max="7" width="15.42578125" customWidth="1"/>
    <col min="8" max="8" width="24.28515625" bestFit="1" customWidth="1"/>
    <col min="9" max="9" width="19.140625" customWidth="1"/>
  </cols>
  <sheetData>
    <row r="1" spans="1:13" s="540" customFormat="1" ht="62.25" customHeight="1">
      <c r="A1" s="2177" t="s">
        <v>1036</v>
      </c>
      <c r="B1" s="2177"/>
      <c r="C1" s="2177"/>
      <c r="D1" s="2177"/>
      <c r="E1" s="2177"/>
      <c r="F1" s="2177"/>
      <c r="G1" s="2177"/>
      <c r="H1" s="2177"/>
    </row>
    <row r="2" spans="1:13" s="540" customFormat="1" ht="32.25" customHeight="1">
      <c r="A2" s="2304" t="s">
        <v>1037</v>
      </c>
      <c r="B2" s="2304"/>
      <c r="C2" s="2304"/>
      <c r="D2" s="2304"/>
      <c r="E2" s="2304"/>
      <c r="F2" s="2304"/>
      <c r="G2" s="2304"/>
      <c r="H2" s="2304"/>
    </row>
    <row r="3" spans="1:13" ht="13.5" customHeight="1">
      <c r="A3" s="1169"/>
      <c r="B3" s="59"/>
      <c r="C3" s="59"/>
      <c r="D3" s="59"/>
      <c r="E3" s="59"/>
    </row>
    <row r="4" spans="1:13" s="402" customFormat="1" ht="29.25" customHeight="1">
      <c r="A4" s="601" t="s">
        <v>999</v>
      </c>
      <c r="B4" s="602" t="s">
        <v>454</v>
      </c>
      <c r="C4" s="602" t="s">
        <v>593</v>
      </c>
      <c r="D4" s="602" t="s">
        <v>594</v>
      </c>
      <c r="E4" s="602" t="s">
        <v>1038</v>
      </c>
      <c r="F4" s="603" t="s">
        <v>235</v>
      </c>
    </row>
    <row r="5" spans="1:13" s="329" customFormat="1" ht="18.75" customHeight="1">
      <c r="A5" s="604" t="s">
        <v>1039</v>
      </c>
      <c r="B5" s="605">
        <v>64516667631.620003</v>
      </c>
      <c r="C5" s="605">
        <v>72515503134.449997</v>
      </c>
      <c r="D5" s="605">
        <v>81223400245.509995</v>
      </c>
      <c r="E5" s="605">
        <f>+'Resumen '!E75</f>
        <v>28121598444.849998</v>
      </c>
      <c r="F5" s="606">
        <f t="shared" ref="F5:F13" si="0">SUM(B5:E5)</f>
        <v>246377169456.43002</v>
      </c>
      <c r="H5" s="402"/>
      <c r="J5"/>
      <c r="K5"/>
    </row>
    <row r="6" spans="1:13" s="329" customFormat="1" ht="18.75" customHeight="1">
      <c r="A6" s="604" t="s">
        <v>1040</v>
      </c>
      <c r="B6" s="605">
        <v>3637727227.8899999</v>
      </c>
      <c r="C6" s="605">
        <v>3046658090.7199998</v>
      </c>
      <c r="D6" s="605">
        <v>3302531369.3600001</v>
      </c>
      <c r="E6" s="605">
        <f>+'Resumen '!E76</f>
        <v>1174983662.8900001</v>
      </c>
      <c r="F6" s="606">
        <f t="shared" si="0"/>
        <v>11161900350.859999</v>
      </c>
      <c r="H6" s="402"/>
      <c r="J6"/>
      <c r="K6"/>
    </row>
    <row r="7" spans="1:13" s="329" customFormat="1" ht="18.75" customHeight="1">
      <c r="A7" s="604" t="s">
        <v>874</v>
      </c>
      <c r="B7" s="605">
        <v>6657059927.75</v>
      </c>
      <c r="C7" s="605">
        <v>7539272243.8900003</v>
      </c>
      <c r="D7" s="605">
        <v>8428664553.5299997</v>
      </c>
      <c r="E7" s="605">
        <f>+'Resumen '!E78</f>
        <v>2914334108.8899999</v>
      </c>
      <c r="F7" s="606">
        <f t="shared" si="0"/>
        <v>25539330834.059998</v>
      </c>
      <c r="H7" s="402"/>
      <c r="J7"/>
      <c r="K7"/>
    </row>
    <row r="8" spans="1:13" s="329" customFormat="1" ht="18">
      <c r="A8" s="604" t="s">
        <v>877</v>
      </c>
      <c r="B8" s="607">
        <v>299922059.91000003</v>
      </c>
      <c r="C8" s="607">
        <v>328081703.39999998</v>
      </c>
      <c r="D8" s="607">
        <v>354482605.56999999</v>
      </c>
      <c r="E8" s="605">
        <f>+'Resumen '!E79</f>
        <v>125880699.20999999</v>
      </c>
      <c r="F8" s="606">
        <f t="shared" si="0"/>
        <v>1108367068.0899999</v>
      </c>
      <c r="H8" s="402"/>
      <c r="J8"/>
      <c r="K8"/>
    </row>
    <row r="9" spans="1:13" s="329" customFormat="1" ht="18.75" customHeight="1">
      <c r="A9" s="604" t="s">
        <v>880</v>
      </c>
      <c r="B9" s="607">
        <v>534942027.41000003</v>
      </c>
      <c r="C9" s="607">
        <v>550668409.03999996</v>
      </c>
      <c r="D9" s="607">
        <v>623677440.78999996</v>
      </c>
      <c r="E9" s="605">
        <f>+'Resumen '!E80</f>
        <v>220731945.37</v>
      </c>
      <c r="F9" s="606">
        <f t="shared" si="0"/>
        <v>1930019822.6100001</v>
      </c>
      <c r="H9" s="402"/>
      <c r="J9"/>
      <c r="K9"/>
      <c r="L9" s="404"/>
      <c r="M9" s="404"/>
    </row>
    <row r="10" spans="1:13" s="329" customFormat="1" ht="18.75" customHeight="1">
      <c r="A10" s="604" t="s">
        <v>1041</v>
      </c>
      <c r="B10" s="605">
        <v>537390142.97000003</v>
      </c>
      <c r="C10" s="605">
        <v>598183649.45000005</v>
      </c>
      <c r="D10" s="605">
        <v>668602213.62</v>
      </c>
      <c r="E10" s="605">
        <f>+'Resumen '!E81</f>
        <v>231162582.08000001</v>
      </c>
      <c r="F10" s="606">
        <f t="shared" si="0"/>
        <v>2035338588.1199999</v>
      </c>
      <c r="H10" s="402"/>
      <c r="J10"/>
      <c r="K10"/>
    </row>
    <row r="11" spans="1:13" s="329" customFormat="1" ht="18.75" customHeight="1">
      <c r="A11" s="604" t="s">
        <v>1042</v>
      </c>
      <c r="B11" s="605">
        <v>3070768143.7399998</v>
      </c>
      <c r="C11" s="605">
        <v>3418154271.48</v>
      </c>
      <c r="D11" s="605">
        <v>3820529252.0700002</v>
      </c>
      <c r="E11" s="605">
        <f>+'Resumen '!E82</f>
        <v>1320909338.75</v>
      </c>
      <c r="F11" s="606">
        <f t="shared" si="0"/>
        <v>11630361006.039999</v>
      </c>
      <c r="H11" s="402"/>
      <c r="J11"/>
      <c r="K11"/>
    </row>
    <row r="12" spans="1:13" s="329" customFormat="1" ht="18.75" customHeight="1">
      <c r="A12" s="604" t="s">
        <v>1043</v>
      </c>
      <c r="B12" s="605">
        <v>660867082.09000003</v>
      </c>
      <c r="C12" s="605">
        <v>744719455.63999999</v>
      </c>
      <c r="D12" s="605">
        <v>830780103.28999996</v>
      </c>
      <c r="E12" s="605">
        <f>+'Resumen '!E83</f>
        <v>286194918.24000001</v>
      </c>
      <c r="F12" s="606">
        <f t="shared" si="0"/>
        <v>2522561559.2600002</v>
      </c>
      <c r="H12" s="402"/>
      <c r="J12"/>
      <c r="K12"/>
      <c r="L12"/>
      <c r="M12"/>
    </row>
    <row r="13" spans="1:13" s="329" customFormat="1" ht="18.75" customHeight="1">
      <c r="A13" s="604" t="s">
        <v>1044</v>
      </c>
      <c r="B13" s="607">
        <v>330441648.19999999</v>
      </c>
      <c r="C13" s="607">
        <v>372362585.42000002</v>
      </c>
      <c r="D13" s="607">
        <v>415402047.5</v>
      </c>
      <c r="E13" s="605">
        <f>+'Resumen '!E84</f>
        <v>143102159.77000001</v>
      </c>
      <c r="F13" s="606">
        <f t="shared" si="0"/>
        <v>1261308440.8899999</v>
      </c>
      <c r="H13" s="402"/>
      <c r="J13"/>
      <c r="K13"/>
      <c r="L13"/>
      <c r="M13"/>
    </row>
    <row r="14" spans="1:13" s="329" customFormat="1" ht="18.75" customHeight="1">
      <c r="A14" s="885" t="s">
        <v>235</v>
      </c>
      <c r="B14" s="606">
        <f t="shared" ref="B14:E14" si="1">SUM(B5:B13)</f>
        <v>80245785891.580017</v>
      </c>
      <c r="C14" s="606">
        <f t="shared" si="1"/>
        <v>89113603543.489975</v>
      </c>
      <c r="D14" s="606">
        <f t="shared" si="1"/>
        <v>99668069831.23999</v>
      </c>
      <c r="E14" s="606">
        <f t="shared" si="1"/>
        <v>34538897860.049995</v>
      </c>
      <c r="F14" s="606">
        <f>SUM(F5:F13)</f>
        <v>303566357126.35999</v>
      </c>
      <c r="J14"/>
      <c r="K14"/>
      <c r="L14"/>
      <c r="M14"/>
    </row>
    <row r="15" spans="1:13" ht="18" customHeight="1"/>
    <row r="16" spans="1:13" ht="14.25" customHeight="1">
      <c r="E16" s="41"/>
      <c r="F16" s="41"/>
      <c r="G16" s="41"/>
      <c r="H16" s="41"/>
      <c r="I16">
        <f>+E14-'Resumen '!E85</f>
        <v>0</v>
      </c>
    </row>
    <row r="17" spans="5:8">
      <c r="E17" s="41"/>
      <c r="F17" s="41"/>
      <c r="G17" s="41"/>
      <c r="H17" s="41"/>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265" priority="4"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2">
    <tabColor theme="8" tint="-0.249977111117893"/>
    <pageSetUpPr fitToPage="1"/>
  </sheetPr>
  <dimension ref="A1:H71"/>
  <sheetViews>
    <sheetView showGridLines="0" view="pageBreakPreview" zoomScale="70" zoomScaleNormal="100" zoomScaleSheetLayoutView="70" workbookViewId="0">
      <pane xSplit="1" ySplit="4" topLeftCell="B5" activePane="bottomRight" state="frozen"/>
      <selection pane="bottomRight" activeCell="G7" sqref="G7"/>
      <selection pane="bottomLeft" activeCell="A6" sqref="A6:J27"/>
      <selection pane="topRight" activeCell="A6" sqref="A6:J27"/>
    </sheetView>
  </sheetViews>
  <sheetFormatPr defaultColWidth="11.42578125" defaultRowHeight="15"/>
  <cols>
    <col min="1" max="1" width="33" style="42" customWidth="1"/>
    <col min="2" max="4" width="24.7109375" style="42" customWidth="1"/>
    <col min="5" max="5" width="24.7109375" style="76" customWidth="1"/>
    <col min="6" max="6" width="27.140625" style="76" bestFit="1" customWidth="1"/>
    <col min="7" max="7" width="24.5703125" style="42" customWidth="1"/>
    <col min="8" max="8" width="30.5703125" style="176" customWidth="1"/>
    <col min="9" max="16384" width="11.42578125" style="42"/>
  </cols>
  <sheetData>
    <row r="1" spans="1:8" s="546" customFormat="1" ht="57.75" customHeight="1">
      <c r="A1" s="2306" t="s">
        <v>1045</v>
      </c>
      <c r="B1" s="2306"/>
      <c r="C1" s="2306"/>
      <c r="D1" s="2306"/>
      <c r="E1" s="2306"/>
      <c r="F1" s="2306"/>
      <c r="G1" s="2306"/>
      <c r="H1" s="2306"/>
    </row>
    <row r="2" spans="1:8" s="546" customFormat="1" ht="23.25">
      <c r="A2" s="2306" t="str">
        <f>+'Resumen '!O1</f>
        <v>Período:  Diciembre 2009 - Abril 2025</v>
      </c>
      <c r="B2" s="2306"/>
      <c r="C2" s="2306"/>
      <c r="D2" s="2306"/>
      <c r="E2" s="2306"/>
      <c r="F2" s="2306"/>
      <c r="G2" s="2306"/>
      <c r="H2" s="2306"/>
    </row>
    <row r="3" spans="1:8" ht="7.5" customHeight="1">
      <c r="A3" s="728"/>
      <c r="B3" s="728"/>
      <c r="C3" s="728"/>
      <c r="D3" s="728"/>
    </row>
    <row r="4" spans="1:8" s="534" customFormat="1" ht="27" customHeight="1">
      <c r="A4" s="876" t="s">
        <v>913</v>
      </c>
      <c r="B4" s="877" t="s">
        <v>454</v>
      </c>
      <c r="C4" s="877" t="s">
        <v>593</v>
      </c>
      <c r="D4" s="877" t="s">
        <v>594</v>
      </c>
      <c r="E4" s="1784" t="s">
        <v>1046</v>
      </c>
      <c r="F4" s="878" t="s">
        <v>235</v>
      </c>
      <c r="H4" s="535"/>
    </row>
    <row r="5" spans="1:8" s="152" customFormat="1">
      <c r="A5" s="879" t="s">
        <v>866</v>
      </c>
      <c r="B5" s="880">
        <v>21133960278.52</v>
      </c>
      <c r="C5" s="880">
        <v>23761158668.84</v>
      </c>
      <c r="D5" s="880">
        <v>26307149985.470001</v>
      </c>
      <c r="E5" s="881">
        <f>+'Resumen '!H75</f>
        <v>9048989016.9699993</v>
      </c>
      <c r="F5" s="882">
        <f t="shared" ref="F5:F19" si="0">SUM(B5:E5)</f>
        <v>80251257949.800003</v>
      </c>
      <c r="H5" s="242"/>
    </row>
    <row r="6" spans="1:8" s="152" customFormat="1">
      <c r="A6" s="879" t="s">
        <v>869</v>
      </c>
      <c r="B6" s="880">
        <v>15142864075.59</v>
      </c>
      <c r="C6" s="880">
        <v>16944321974.73</v>
      </c>
      <c r="D6" s="880">
        <v>18574520728.369999</v>
      </c>
      <c r="E6" s="881">
        <f>+'Resumen '!H76</f>
        <v>6392968182.0200005</v>
      </c>
      <c r="F6" s="882">
        <f t="shared" si="0"/>
        <v>57054674960.710007</v>
      </c>
      <c r="H6" s="242"/>
    </row>
    <row r="7" spans="1:8" s="152" customFormat="1">
      <c r="A7" s="879" t="s">
        <v>872</v>
      </c>
      <c r="B7" s="880">
        <v>13013729587.18</v>
      </c>
      <c r="C7" s="880">
        <v>14701970341.059999</v>
      </c>
      <c r="D7" s="880">
        <v>16494263877.709999</v>
      </c>
      <c r="E7" s="881">
        <f>+'Resumen '!H77</f>
        <v>5707949263.7200003</v>
      </c>
      <c r="F7" s="882">
        <f t="shared" si="0"/>
        <v>49917913069.669998</v>
      </c>
      <c r="H7" s="242"/>
    </row>
    <row r="8" spans="1:8" s="152" customFormat="1">
      <c r="A8" s="879" t="s">
        <v>875</v>
      </c>
      <c r="B8" s="880">
        <v>12570028697.83</v>
      </c>
      <c r="C8" s="880">
        <v>13887348136.860001</v>
      </c>
      <c r="D8" s="880">
        <v>15841462403.57</v>
      </c>
      <c r="E8" s="881">
        <f>+'Resumen '!H78</f>
        <v>5517279579.5100002</v>
      </c>
      <c r="F8" s="882">
        <f t="shared" si="0"/>
        <v>47816118817.770004</v>
      </c>
      <c r="H8" s="242"/>
    </row>
    <row r="9" spans="1:8" s="152" customFormat="1">
      <c r="A9" s="879" t="s">
        <v>878</v>
      </c>
      <c r="B9" s="880">
        <v>10637508913.700001</v>
      </c>
      <c r="C9" s="880">
        <v>12015726917.77</v>
      </c>
      <c r="D9" s="880">
        <v>13536130550.85</v>
      </c>
      <c r="E9" s="881">
        <f>+'Resumen '!H79</f>
        <v>4770155182.1499996</v>
      </c>
      <c r="F9" s="882">
        <f t="shared" si="0"/>
        <v>40959521564.470001</v>
      </c>
      <c r="H9" s="243"/>
    </row>
    <row r="10" spans="1:8" s="152" customFormat="1">
      <c r="A10" s="879" t="s">
        <v>694</v>
      </c>
      <c r="B10" s="880">
        <v>3741208489.0300002</v>
      </c>
      <c r="C10" s="880">
        <v>3130204689.73</v>
      </c>
      <c r="D10" s="880">
        <v>3399884093.4499998</v>
      </c>
      <c r="E10" s="881">
        <f>+'Resumen '!H80</f>
        <v>1210816347.21</v>
      </c>
      <c r="F10" s="882">
        <f t="shared" si="0"/>
        <v>11482113619.419998</v>
      </c>
      <c r="H10" s="242"/>
    </row>
    <row r="11" spans="1:8" s="152" customFormat="1">
      <c r="A11" s="879" t="s">
        <v>894</v>
      </c>
      <c r="B11" s="880">
        <v>471821207.45999998</v>
      </c>
      <c r="C11" s="880">
        <v>504301157.47000003</v>
      </c>
      <c r="D11" s="880">
        <v>534668410.19</v>
      </c>
      <c r="E11" s="881">
        <f>+'Resumen '!H81</f>
        <v>592233212.75999999</v>
      </c>
      <c r="F11" s="882">
        <f t="shared" si="0"/>
        <v>2103023987.8800001</v>
      </c>
      <c r="H11" s="242"/>
    </row>
    <row r="12" spans="1:8" s="152" customFormat="1">
      <c r="A12" s="879" t="s">
        <v>824</v>
      </c>
      <c r="B12" s="880">
        <v>537390142.97000003</v>
      </c>
      <c r="C12" s="880">
        <v>598183649.45000005</v>
      </c>
      <c r="D12" s="880">
        <v>668602213.62</v>
      </c>
      <c r="E12" s="881">
        <f>+'Resumen '!H82</f>
        <v>286194918.24000001</v>
      </c>
      <c r="F12" s="882">
        <f t="shared" si="0"/>
        <v>2090370924.28</v>
      </c>
      <c r="G12" s="153"/>
      <c r="H12" s="153"/>
    </row>
    <row r="13" spans="1:8" s="152" customFormat="1">
      <c r="A13" s="879" t="s">
        <v>904</v>
      </c>
      <c r="B13" s="880">
        <v>296541693.35000002</v>
      </c>
      <c r="C13" s="880">
        <v>302866298.23000002</v>
      </c>
      <c r="D13" s="880">
        <v>314432235.98000002</v>
      </c>
      <c r="E13" s="881">
        <f>+'Resumen '!H83</f>
        <v>231162582.08000001</v>
      </c>
      <c r="F13" s="882">
        <f t="shared" si="0"/>
        <v>1145002809.6400001</v>
      </c>
      <c r="G13" s="153"/>
      <c r="H13" s="930"/>
    </row>
    <row r="14" spans="1:8" s="152" customFormat="1">
      <c r="A14" s="879" t="s">
        <v>901</v>
      </c>
      <c r="B14" s="880">
        <v>151374061.84</v>
      </c>
      <c r="C14" s="880">
        <v>125458548.02</v>
      </c>
      <c r="D14" s="880">
        <v>129359342.27</v>
      </c>
      <c r="E14" s="881">
        <f>+'Resumen '!H84</f>
        <v>209837828.00999999</v>
      </c>
      <c r="F14" s="882">
        <f t="shared" si="0"/>
        <v>616029780.13999999</v>
      </c>
      <c r="G14" s="154"/>
      <c r="H14" s="930"/>
    </row>
    <row r="15" spans="1:8" s="152" customFormat="1">
      <c r="A15" s="879" t="s">
        <v>897</v>
      </c>
      <c r="B15" s="880">
        <v>299922059.91000003</v>
      </c>
      <c r="C15" s="880">
        <v>328083703.39999998</v>
      </c>
      <c r="D15" s="880">
        <v>354482585.56999999</v>
      </c>
      <c r="E15" s="881">
        <f>+'Resumen '!H85</f>
        <v>186829534.44</v>
      </c>
      <c r="F15" s="882">
        <f t="shared" si="0"/>
        <v>1169317883.3199999</v>
      </c>
      <c r="G15" s="153"/>
    </row>
    <row r="16" spans="1:8" s="152" customFormat="1">
      <c r="A16" s="879" t="s">
        <v>883</v>
      </c>
      <c r="B16" s="880">
        <v>862196273.07000005</v>
      </c>
      <c r="C16" s="880">
        <v>1191703556.96</v>
      </c>
      <c r="D16" s="880">
        <v>1667785704.45</v>
      </c>
      <c r="E16" s="881">
        <f>+'Resumen '!H86</f>
        <v>143102159.77000001</v>
      </c>
      <c r="F16" s="882">
        <f t="shared" si="0"/>
        <v>3864787694.2500005</v>
      </c>
      <c r="G16" s="153"/>
    </row>
    <row r="17" spans="1:8" s="152" customFormat="1">
      <c r="A17" s="879" t="s">
        <v>891</v>
      </c>
      <c r="B17" s="880">
        <v>395931680.88999999</v>
      </c>
      <c r="C17" s="880">
        <v>505195760.00999999</v>
      </c>
      <c r="D17" s="880">
        <v>599145528.95000005</v>
      </c>
      <c r="E17" s="881">
        <f>+'Resumen '!H87</f>
        <v>125880699.20999999</v>
      </c>
      <c r="F17" s="882">
        <f t="shared" si="0"/>
        <v>1626153669.0599999</v>
      </c>
      <c r="G17" s="153"/>
    </row>
    <row r="18" spans="1:8" s="152" customFormat="1">
      <c r="A18" s="879" t="s">
        <v>886</v>
      </c>
      <c r="B18" s="880">
        <v>660867082.09000003</v>
      </c>
      <c r="C18" s="880">
        <v>744719455.62</v>
      </c>
      <c r="D18" s="880">
        <v>830780103.28999996</v>
      </c>
      <c r="E18" s="881">
        <f>+'Resumen '!H88</f>
        <v>42394913.659999996</v>
      </c>
      <c r="F18" s="882">
        <f t="shared" si="0"/>
        <v>2278761554.6599998</v>
      </c>
      <c r="G18" s="153"/>
    </row>
    <row r="19" spans="1:8" s="152" customFormat="1">
      <c r="A19" s="879" t="s">
        <v>890</v>
      </c>
      <c r="B19" s="880">
        <v>330441648.19999999</v>
      </c>
      <c r="C19" s="880">
        <v>372362585.44</v>
      </c>
      <c r="D19" s="880">
        <v>415402047.5</v>
      </c>
      <c r="E19" s="881">
        <f>+'Resumen '!H89</f>
        <v>73104440.299999997</v>
      </c>
      <c r="F19" s="882">
        <f t="shared" si="0"/>
        <v>1191310721.4399998</v>
      </c>
      <c r="G19" s="153"/>
    </row>
    <row r="20" spans="1:8" s="155" customFormat="1">
      <c r="A20" s="883" t="s">
        <v>913</v>
      </c>
      <c r="B20" s="884">
        <f>SUM(B5:B19)</f>
        <v>80245785891.63002</v>
      </c>
      <c r="C20" s="884">
        <f>SUM(C5:C19)</f>
        <v>89113605443.589981</v>
      </c>
      <c r="D20" s="884">
        <f>SUM(D5:D19)</f>
        <v>99668069811.23999</v>
      </c>
      <c r="E20" s="884">
        <f>SUM(E5:E19)</f>
        <v>34538897860.050011</v>
      </c>
      <c r="F20" s="884">
        <f>SUM(F5:F19)</f>
        <v>303566359006.51007</v>
      </c>
      <c r="G20" s="153"/>
      <c r="H20" s="1098"/>
    </row>
    <row r="21" spans="1:8" s="150" customFormat="1" ht="12.75" customHeight="1">
      <c r="A21" s="2305" t="s">
        <v>1047</v>
      </c>
      <c r="B21" s="2305"/>
      <c r="C21" s="2305"/>
      <c r="D21" s="2305"/>
      <c r="E21" s="2305"/>
      <c r="F21" s="2305"/>
      <c r="G21" s="151"/>
    </row>
    <row r="22" spans="1:8" ht="15.75">
      <c r="A22" s="150" t="s">
        <v>1048</v>
      </c>
      <c r="B22" s="150"/>
      <c r="C22" s="150"/>
      <c r="D22" s="150"/>
      <c r="E22" s="1390"/>
      <c r="F22" s="150"/>
      <c r="G22" s="133"/>
    </row>
    <row r="23" spans="1:8">
      <c r="E23" s="123"/>
      <c r="G23" s="133"/>
    </row>
    <row r="24" spans="1:8">
      <c r="G24" s="133"/>
    </row>
    <row r="25" spans="1:8">
      <c r="G25" s="133"/>
    </row>
    <row r="26" spans="1:8">
      <c r="G26" s="133"/>
    </row>
    <row r="27" spans="1:8">
      <c r="G27" s="133"/>
    </row>
    <row r="28" spans="1:8">
      <c r="G28" s="133"/>
    </row>
    <row r="29" spans="1:8">
      <c r="G29" s="133"/>
    </row>
    <row r="30" spans="1:8">
      <c r="G30" s="133"/>
      <c r="H30" s="133"/>
    </row>
    <row r="31" spans="1:8">
      <c r="G31" s="133"/>
      <c r="H31" s="133"/>
    </row>
    <row r="32" spans="1:8">
      <c r="G32" s="133"/>
      <c r="H32" s="133"/>
    </row>
    <row r="33" spans="7:8">
      <c r="G33" s="133"/>
      <c r="H33" s="133"/>
    </row>
    <row r="34" spans="7:8">
      <c r="G34" s="133"/>
      <c r="H34" s="133"/>
    </row>
    <row r="35" spans="7:8">
      <c r="G35" s="133"/>
      <c r="H35" s="133"/>
    </row>
    <row r="36" spans="7:8">
      <c r="G36" s="133"/>
      <c r="H36" s="133"/>
    </row>
    <row r="37" spans="7:8">
      <c r="G37" s="133"/>
      <c r="H37" s="133"/>
    </row>
    <row r="38" spans="7:8">
      <c r="G38" s="133"/>
      <c r="H38" s="133"/>
    </row>
    <row r="39" spans="7:8">
      <c r="G39" s="133"/>
      <c r="H39" s="133"/>
    </row>
    <row r="40" spans="7:8">
      <c r="G40" s="133"/>
      <c r="H40" s="133"/>
    </row>
    <row r="69" spans="1:6" ht="30" customHeight="1"/>
    <row r="70" spans="1:6" ht="17.25" customHeight="1">
      <c r="A70" s="132" t="s">
        <v>1049</v>
      </c>
      <c r="B70" s="847"/>
      <c r="C70" s="847"/>
      <c r="D70" s="847"/>
      <c r="E70" s="150"/>
      <c r="F70" s="150"/>
    </row>
    <row r="71" spans="1:6" ht="20.25" customHeight="1">
      <c r="A71" s="2305" t="s">
        <v>1047</v>
      </c>
      <c r="B71" s="2305"/>
      <c r="C71" s="2305"/>
      <c r="D71" s="2305"/>
      <c r="E71" s="2305"/>
      <c r="F71" s="2305"/>
    </row>
  </sheetData>
  <mergeCells count="4">
    <mergeCell ref="A71:F71"/>
    <mergeCell ref="A21:F21"/>
    <mergeCell ref="A2:H2"/>
    <mergeCell ref="A1:H1"/>
  </mergeCells>
  <conditionalFormatting sqref="B5:F19">
    <cfRule type="cellIs" dxfId="253" priority="1" operator="equal">
      <formula>0</formula>
    </cfRule>
  </conditionalFormatting>
  <conditionalFormatting sqref="E5:E19">
    <cfRule type="cellIs" dxfId="252" priority="3" operator="equal">
      <formula>0</formula>
    </cfRule>
    <cfRule type="cellIs" dxfId="251" priority="4" operator="equal">
      <formula>0</formula>
    </cfRule>
  </conditionalFormatting>
  <pageMargins left="0.70866141732283472" right="0.70866141732283472" top="0.74803149606299213" bottom="0.74803149606299213" header="0.31496062992125984" footer="0.31496062992125984"/>
  <pageSetup paperSize="119" scale="40"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fitToPage="1"/>
  </sheetPr>
  <dimension ref="A1:BA117"/>
  <sheetViews>
    <sheetView showGridLines="0" view="pageBreakPreview" zoomScale="25" zoomScaleNormal="39" zoomScaleSheetLayoutView="25" workbookViewId="0">
      <selection activeCell="O24" sqref="O24"/>
    </sheetView>
  </sheetViews>
  <sheetFormatPr defaultColWidth="11.42578125" defaultRowHeight="45.75"/>
  <cols>
    <col min="1" max="1" width="19.85546875" style="307" customWidth="1"/>
    <col min="2" max="2" width="43.28515625" style="307" customWidth="1"/>
    <col min="3" max="3" width="58.42578125" style="307" customWidth="1"/>
    <col min="4" max="4" width="58.140625" style="307" customWidth="1"/>
    <col min="5" max="5" width="47.85546875" style="307" customWidth="1"/>
    <col min="6" max="6" width="102.28515625" style="307" customWidth="1"/>
    <col min="7" max="7" width="117.7109375" style="307" customWidth="1"/>
    <col min="8" max="8" width="54" style="307" customWidth="1"/>
    <col min="9" max="9" width="36.140625" style="307" customWidth="1"/>
    <col min="10" max="10" width="55.28515625" style="307" customWidth="1"/>
    <col min="11" max="11" width="42.42578125" style="307" customWidth="1"/>
    <col min="12" max="12" width="37.85546875" style="307" customWidth="1"/>
    <col min="13" max="13" width="24.42578125" style="307" customWidth="1"/>
    <col min="14" max="14" width="42.140625" style="268" customWidth="1"/>
    <col min="15" max="15" width="163" style="1527" customWidth="1"/>
    <col min="16" max="16" width="76.7109375" style="1527" bestFit="1" customWidth="1"/>
    <col min="17" max="18" width="81.85546875" style="1527" bestFit="1" customWidth="1"/>
    <col min="19" max="19" width="40.140625" style="1527" bestFit="1" customWidth="1"/>
    <col min="20" max="20" width="45.28515625" style="1236" customWidth="1"/>
    <col min="21" max="21" width="45.28515625" style="268" customWidth="1"/>
    <col min="22" max="22" width="56.140625" style="268" bestFit="1" customWidth="1"/>
    <col min="23" max="16384" width="11.42578125" style="268"/>
  </cols>
  <sheetData>
    <row r="1" spans="1:20" ht="296.25" customHeight="1">
      <c r="A1" s="2027" t="s">
        <v>224</v>
      </c>
      <c r="B1" s="2027"/>
      <c r="C1" s="2027"/>
      <c r="D1" s="2027"/>
      <c r="E1" s="2027"/>
      <c r="F1" s="2027"/>
      <c r="G1" s="2027"/>
      <c r="H1" s="2027"/>
      <c r="I1" s="2027"/>
      <c r="J1" s="2027"/>
      <c r="K1" s="2027"/>
      <c r="L1" s="2027"/>
      <c r="M1" s="2028"/>
    </row>
    <row r="2" spans="1:20" ht="24.75" customHeight="1">
      <c r="A2" s="317"/>
      <c r="B2" s="317"/>
      <c r="C2" s="317"/>
      <c r="D2" s="317"/>
      <c r="E2" s="317"/>
      <c r="F2" s="317"/>
      <c r="G2" s="317"/>
      <c r="H2" s="317"/>
      <c r="I2" s="317"/>
      <c r="J2" s="317"/>
      <c r="K2" s="317"/>
      <c r="L2" s="317"/>
      <c r="M2" s="317"/>
    </row>
    <row r="5" spans="1:20" ht="116.25" customHeight="1">
      <c r="O5" s="1545" t="s">
        <v>225</v>
      </c>
      <c r="P5" s="1546">
        <f>+'III.1.3.Afil.SFSPob.Nac.'!D22</f>
        <v>0.97238069448558251</v>
      </c>
    </row>
    <row r="6" spans="1:20" ht="50.25" customHeight="1">
      <c r="D6" s="2025" t="s">
        <v>227</v>
      </c>
      <c r="E6" s="2025"/>
      <c r="F6" s="2025"/>
      <c r="G6" s="1591"/>
      <c r="O6" s="1545"/>
      <c r="P6" s="1545"/>
    </row>
    <row r="7" spans="1:20" ht="50.25" customHeight="1">
      <c r="G7" s="1591"/>
      <c r="H7" s="1591"/>
      <c r="O7" s="1545" t="s">
        <v>226</v>
      </c>
      <c r="P7" s="1545">
        <f>+'III.1.3.Afil.SFSPob.Nac.'!B22</f>
        <v>10564432</v>
      </c>
    </row>
    <row r="8" spans="1:20">
      <c r="O8" s="1545" t="s">
        <v>228</v>
      </c>
      <c r="P8" s="1545">
        <f>+' II.4.Empr x No. de empl'!D14</f>
        <v>2554953</v>
      </c>
    </row>
    <row r="9" spans="1:20">
      <c r="O9" s="1545" t="s">
        <v>251</v>
      </c>
      <c r="P9" s="1545">
        <f>+'Resumen '!B45</f>
        <v>5392563</v>
      </c>
    </row>
    <row r="10" spans="1:20">
      <c r="O10" s="1545"/>
      <c r="P10" s="1545"/>
    </row>
    <row r="11" spans="1:20">
      <c r="E11" s="308"/>
      <c r="O11" s="1545" t="s">
        <v>252</v>
      </c>
      <c r="P11" s="1545"/>
    </row>
    <row r="12" spans="1:20" s="887" customFormat="1" ht="107.25" customHeight="1">
      <c r="B12" s="1524"/>
      <c r="C12" s="1524"/>
      <c r="O12" s="1547" t="s">
        <v>229</v>
      </c>
      <c r="P12" s="1547"/>
      <c r="Q12" s="1528"/>
      <c r="R12" s="1528"/>
      <c r="S12" s="1528"/>
      <c r="T12" s="1237"/>
    </row>
    <row r="13" spans="1:20" ht="63" customHeight="1">
      <c r="A13" s="2025"/>
      <c r="B13" s="2025"/>
      <c r="C13" s="2025"/>
      <c r="D13" s="2025"/>
      <c r="E13" s="2025"/>
    </row>
    <row r="14" spans="1:20" ht="98.25" customHeight="1">
      <c r="A14" s="1525"/>
      <c r="B14" s="1525"/>
      <c r="C14" s="1525"/>
      <c r="D14" s="1525"/>
      <c r="E14" s="1472"/>
      <c r="G14" s="1525"/>
      <c r="N14"/>
    </row>
    <row r="15" spans="1:20" ht="23.25" customHeight="1">
      <c r="D15" s="1584"/>
    </row>
    <row r="16" spans="1:20" ht="50.25" customHeight="1">
      <c r="A16" s="310"/>
      <c r="B16" s="310"/>
      <c r="C16" s="1584"/>
      <c r="D16" s="1592"/>
      <c r="E16" s="1592"/>
      <c r="G16" s="310"/>
    </row>
    <row r="17" spans="1:23" ht="16.5" customHeight="1">
      <c r="A17" s="310"/>
      <c r="B17" s="310"/>
      <c r="C17" s="1584"/>
      <c r="D17" s="1592"/>
      <c r="E17"/>
      <c r="G17" s="310"/>
    </row>
    <row r="18" spans="1:23" ht="35.25" customHeight="1">
      <c r="A18" s="1525"/>
      <c r="B18" s="1525"/>
      <c r="C18" s="1584"/>
      <c r="D18" s="1592"/>
      <c r="E18" s="1592"/>
      <c r="G18" s="1525"/>
    </row>
    <row r="19" spans="1:23" ht="42.75" customHeight="1">
      <c r="A19" s="1525"/>
      <c r="B19" s="1525"/>
      <c r="C19" s="1584"/>
      <c r="D19" s="1592"/>
      <c r="E19" s="1592"/>
      <c r="G19" s="1525"/>
    </row>
    <row r="20" spans="1:23" ht="43.5" customHeight="1">
      <c r="A20" s="309"/>
      <c r="C20" s="1582"/>
      <c r="D20" s="1592"/>
      <c r="E20" s="1592"/>
      <c r="G20" s="309"/>
    </row>
    <row r="21" spans="1:23" ht="31.5" customHeight="1">
      <c r="A21" s="309"/>
      <c r="C21" s="1582"/>
      <c r="D21" s="1582"/>
      <c r="G21" s="309"/>
    </row>
    <row r="22" spans="1:23" ht="136.5" customHeight="1">
      <c r="A22" s="310"/>
      <c r="D22" s="1583"/>
      <c r="G22" s="310"/>
    </row>
    <row r="23" spans="1:23" ht="126" customHeight="1">
      <c r="C23" s="2026"/>
      <c r="D23" s="2026"/>
      <c r="O23"/>
    </row>
    <row r="24" spans="1:23" ht="178.5" customHeight="1">
      <c r="C24" s="1526"/>
      <c r="D24" s="1526"/>
    </row>
    <row r="25" spans="1:23" ht="81" customHeight="1">
      <c r="A25" s="2015"/>
      <c r="B25" s="2015"/>
      <c r="C25" s="2015"/>
      <c r="D25" s="2015"/>
      <c r="E25" s="2015"/>
    </row>
    <row r="26" spans="1:23" ht="34.5" customHeight="1">
      <c r="C26" s="314"/>
      <c r="J26" s="314"/>
    </row>
    <row r="27" spans="1:23" s="269" customFormat="1" ht="90" customHeight="1">
      <c r="N27" s="268"/>
      <c r="O27" s="1527"/>
      <c r="P27" s="1527"/>
      <c r="Q27" s="1527"/>
      <c r="R27" s="1527"/>
      <c r="S27" s="1527"/>
      <c r="T27" s="1236"/>
      <c r="U27" s="268"/>
      <c r="V27" s="268"/>
      <c r="W27" s="268"/>
    </row>
    <row r="28" spans="1:23" ht="6.75" customHeight="1"/>
    <row r="29" spans="1:23" ht="16.5" customHeight="1">
      <c r="C29" s="314"/>
      <c r="J29" s="314"/>
    </row>
    <row r="30" spans="1:23" ht="46.5">
      <c r="C30" s="313"/>
      <c r="L30" s="313"/>
      <c r="O30" s="2023" t="s">
        <v>230</v>
      </c>
      <c r="P30" s="2023"/>
      <c r="Q30" s="2023"/>
      <c r="R30" s="2023"/>
      <c r="S30" s="1529"/>
    </row>
    <row r="31" spans="1:23" ht="45">
      <c r="C31" s="313"/>
      <c r="L31" s="313"/>
      <c r="O31" s="1530" t="s">
        <v>231</v>
      </c>
      <c r="P31" s="1531" t="s">
        <v>232</v>
      </c>
      <c r="Q31" s="1531" t="s">
        <v>233</v>
      </c>
      <c r="R31" s="1531" t="s">
        <v>234</v>
      </c>
      <c r="S31" s="1531" t="s">
        <v>235</v>
      </c>
      <c r="T31" s="1531" t="s">
        <v>236</v>
      </c>
      <c r="U31" s="1531" t="s">
        <v>237</v>
      </c>
    </row>
    <row r="32" spans="1:23" ht="60">
      <c r="L32" s="313"/>
      <c r="O32" s="1532" t="s">
        <v>238</v>
      </c>
      <c r="P32" s="1533">
        <f>+P42+P52</f>
        <v>3597939</v>
      </c>
      <c r="Q32" s="1533">
        <f>+Q42+Q52</f>
        <v>1506803</v>
      </c>
      <c r="R32" s="1533">
        <f>+R42</f>
        <v>82266</v>
      </c>
      <c r="S32" s="1533">
        <f>SUM(P32:R32)</f>
        <v>5187008</v>
      </c>
      <c r="T32" s="1544">
        <f>+S32/S34</f>
        <v>0.49743056936772234</v>
      </c>
      <c r="U32" s="1544">
        <v>1</v>
      </c>
    </row>
    <row r="33" spans="14:23" ht="60">
      <c r="O33" s="1532" t="s">
        <v>239</v>
      </c>
      <c r="P33" s="1533">
        <f>+P43+P53</f>
        <v>3398814</v>
      </c>
      <c r="Q33" s="1533">
        <f>+Q43+Q53</f>
        <v>1662505</v>
      </c>
      <c r="R33" s="1533">
        <f>+R43</f>
        <v>179275</v>
      </c>
      <c r="S33" s="1533">
        <f>SUM(P33:R33)</f>
        <v>5240594</v>
      </c>
      <c r="T33" s="1544">
        <f>+S33/S34</f>
        <v>0.50256943063227766</v>
      </c>
      <c r="U33" s="1544">
        <v>1</v>
      </c>
    </row>
    <row r="34" spans="14:23" ht="45">
      <c r="O34" s="1532" t="s">
        <v>235</v>
      </c>
      <c r="P34" s="1534">
        <f>SUM(P32:P33)</f>
        <v>6996753</v>
      </c>
      <c r="Q34" s="1534">
        <f>SUM(Q32:Q33)</f>
        <v>3169308</v>
      </c>
      <c r="R34" s="1534">
        <f>SUM(R32:R33)</f>
        <v>261541</v>
      </c>
      <c r="S34" s="1534">
        <f>SUM(P34:R34)</f>
        <v>10427602</v>
      </c>
    </row>
    <row r="35" spans="14:23" ht="46.5">
      <c r="O35" s="1529" t="s">
        <v>240</v>
      </c>
      <c r="P35" s="1529"/>
      <c r="Q35" s="1529"/>
      <c r="R35" s="1529"/>
      <c r="S35" s="1529"/>
    </row>
    <row r="36" spans="14:23" ht="46.5">
      <c r="O36" s="1529"/>
      <c r="P36" s="1529"/>
      <c r="Q36" s="1529"/>
      <c r="R36" s="1529"/>
      <c r="S36" s="1529"/>
    </row>
    <row r="37" spans="14:23" ht="46.5">
      <c r="O37" s="1529"/>
      <c r="P37" s="1529"/>
      <c r="Q37" s="1529"/>
      <c r="R37" s="1529"/>
      <c r="S37" s="1529"/>
    </row>
    <row r="38" spans="14:23" ht="46.5">
      <c r="O38"/>
      <c r="P38" s="1529"/>
      <c r="Q38" s="1529"/>
      <c r="R38" s="1529"/>
      <c r="S38" s="1529"/>
    </row>
    <row r="39" spans="14:23" ht="46.5">
      <c r="O39" s="1529"/>
      <c r="P39" s="1529"/>
      <c r="Q39" s="1529"/>
      <c r="R39" s="1529"/>
      <c r="S39" s="1529"/>
    </row>
    <row r="40" spans="14:23" ht="46.5">
      <c r="O40" s="1577" t="s">
        <v>241</v>
      </c>
      <c r="P40" s="1577"/>
      <c r="Q40" s="1577"/>
      <c r="R40" s="1577"/>
      <c r="S40" s="1529"/>
    </row>
    <row r="41" spans="14:23" ht="45">
      <c r="O41" s="1530" t="s">
        <v>231</v>
      </c>
      <c r="P41" s="1531" t="s">
        <v>232</v>
      </c>
      <c r="Q41" s="1531" t="s">
        <v>234</v>
      </c>
      <c r="R41" s="1531" t="s">
        <v>242</v>
      </c>
      <c r="S41" s="1531" t="s">
        <v>243</v>
      </c>
    </row>
    <row r="42" spans="14:23" ht="46.5">
      <c r="O42" s="1532" t="s">
        <v>238</v>
      </c>
      <c r="P42" s="1533">
        <v>1207674</v>
      </c>
      <c r="Q42" s="1533">
        <v>1033018</v>
      </c>
      <c r="R42" s="1533">
        <v>82266</v>
      </c>
      <c r="S42" s="1535">
        <f>SUM(P42:R42)</f>
        <v>2322958</v>
      </c>
    </row>
    <row r="43" spans="14:23" s="307" customFormat="1" ht="144.75" customHeight="1">
      <c r="N43" s="268"/>
      <c r="O43" s="1532" t="s">
        <v>239</v>
      </c>
      <c r="P43" s="1533">
        <v>929410</v>
      </c>
      <c r="Q43" s="1533">
        <v>1232008</v>
      </c>
      <c r="R43" s="1533">
        <v>179275</v>
      </c>
      <c r="S43" s="1535">
        <f>SUM(P43:R43)</f>
        <v>2340693</v>
      </c>
      <c r="T43" s="1236"/>
      <c r="U43" s="268"/>
      <c r="V43" s="268"/>
      <c r="W43" s="268"/>
    </row>
    <row r="44" spans="14:23" s="307" customFormat="1" ht="225.75" customHeight="1">
      <c r="N44" s="268"/>
      <c r="O44" s="1585"/>
      <c r="P44" s="1586"/>
      <c r="Q44" s="1586"/>
      <c r="R44" s="1586"/>
      <c r="S44" s="1535"/>
      <c r="T44" s="1236"/>
      <c r="U44" s="268"/>
      <c r="V44" s="268"/>
      <c r="W44" s="268"/>
    </row>
    <row r="45" spans="14:23" s="307" customFormat="1" ht="37.5" customHeight="1">
      <c r="N45" s="268"/>
      <c r="O45" s="268"/>
      <c r="P45" s="268"/>
      <c r="Q45" s="268"/>
      <c r="R45" s="268"/>
      <c r="S45" s="1578">
        <f>SUM(S42:S43)</f>
        <v>4663651</v>
      </c>
      <c r="T45" s="268"/>
      <c r="U45" s="268"/>
      <c r="V45" s="268"/>
      <c r="W45" s="268"/>
    </row>
    <row r="46" spans="14:23" ht="16.5">
      <c r="O46" s="268"/>
      <c r="P46" s="268"/>
      <c r="Q46" s="268"/>
      <c r="R46" s="268"/>
      <c r="S46" s="268"/>
      <c r="T46" s="268"/>
    </row>
    <row r="47" spans="14:23" ht="46.5">
      <c r="O47" s="1529"/>
      <c r="P47" s="1529"/>
      <c r="Q47" s="1529"/>
      <c r="R47" s="1529"/>
      <c r="S47" s="1529"/>
    </row>
    <row r="48" spans="14:23" ht="46.5">
      <c r="O48" s="1529"/>
      <c r="P48" s="1529"/>
      <c r="Q48" s="1529"/>
      <c r="R48" s="1529"/>
      <c r="S48" s="1529"/>
    </row>
    <row r="49" spans="7:19" ht="46.5">
      <c r="O49" s="1529"/>
      <c r="P49" s="1529"/>
      <c r="Q49" s="1529"/>
      <c r="R49" s="1529"/>
      <c r="S49" s="1529"/>
    </row>
    <row r="50" spans="7:19" ht="46.5">
      <c r="O50" s="2023" t="s">
        <v>244</v>
      </c>
      <c r="P50" s="2023"/>
      <c r="Q50" s="2023"/>
      <c r="R50" s="2023"/>
      <c r="S50" s="1529"/>
    </row>
    <row r="51" spans="7:19" ht="46.5">
      <c r="O51" s="1530" t="s">
        <v>231</v>
      </c>
      <c r="P51" s="1531" t="s">
        <v>232</v>
      </c>
      <c r="Q51" s="1531" t="s">
        <v>233</v>
      </c>
      <c r="R51" s="1531" t="s">
        <v>235</v>
      </c>
      <c r="S51" s="1529"/>
    </row>
    <row r="52" spans="7:19" ht="46.5">
      <c r="O52" s="1532" t="s">
        <v>238</v>
      </c>
      <c r="P52" s="1533">
        <v>2390265</v>
      </c>
      <c r="Q52" s="1533">
        <v>473785</v>
      </c>
      <c r="R52" s="1534">
        <f>SUM(P52:Q52)</f>
        <v>2864050</v>
      </c>
      <c r="S52" s="1529"/>
    </row>
    <row r="53" spans="7:19" ht="46.5">
      <c r="O53" s="1532" t="s">
        <v>239</v>
      </c>
      <c r="P53" s="1533">
        <v>2469404</v>
      </c>
      <c r="Q53" s="1533">
        <v>430497</v>
      </c>
      <c r="R53" s="1534">
        <f>SUM(P53:Q53)</f>
        <v>2899901</v>
      </c>
      <c r="S53" s="1529"/>
    </row>
    <row r="54" spans="7:19" ht="178.5" customHeight="1">
      <c r="O54" s="1532" t="s">
        <v>235</v>
      </c>
      <c r="P54" s="1534">
        <f>SUM(P52:P53)</f>
        <v>4859669</v>
      </c>
      <c r="Q54" s="1534">
        <f>SUM(Q52:Q53)</f>
        <v>904282</v>
      </c>
      <c r="R54" s="1534">
        <f>SUM(P54:Q54)</f>
        <v>5763951</v>
      </c>
      <c r="S54" s="1529"/>
    </row>
    <row r="55" spans="7:19" ht="86.25" customHeight="1">
      <c r="O55" s="1529">
        <f>+O46</f>
        <v>0</v>
      </c>
      <c r="P55" s="1529"/>
      <c r="Q55" s="1529"/>
      <c r="R55" s="1529"/>
      <c r="S55" s="1529"/>
    </row>
    <row r="59" spans="7:19">
      <c r="P59" s="1579" t="s">
        <v>245</v>
      </c>
      <c r="Q59" s="1579" t="s">
        <v>176</v>
      </c>
    </row>
    <row r="60" spans="7:19" ht="60">
      <c r="O60" s="1580" t="s">
        <v>246</v>
      </c>
      <c r="P60" s="1581">
        <f>+T32</f>
        <v>0.49743056936772234</v>
      </c>
      <c r="Q60" s="1581">
        <f>+T33</f>
        <v>0.50256943063227766</v>
      </c>
    </row>
    <row r="61" spans="7:19" ht="60">
      <c r="O61" s="1580" t="s">
        <v>237</v>
      </c>
      <c r="P61" s="1581">
        <v>1</v>
      </c>
      <c r="Q61" s="1581">
        <v>1</v>
      </c>
    </row>
    <row r="64" spans="7:19" ht="264" customHeight="1">
      <c r="G64" s="2009"/>
      <c r="H64" s="2009"/>
      <c r="I64" s="2009"/>
      <c r="J64" s="2009"/>
      <c r="K64" s="2009"/>
      <c r="L64" s="2009"/>
      <c r="M64" s="2009"/>
    </row>
    <row r="65" spans="1:21">
      <c r="S65" s="268"/>
    </row>
    <row r="67" spans="1:21" ht="49.5">
      <c r="A67" s="1526"/>
      <c r="U67" s="269"/>
    </row>
    <row r="85" spans="1:53" ht="90.75" customHeight="1">
      <c r="A85" s="268"/>
      <c r="B85" s="268"/>
      <c r="C85" s="268"/>
      <c r="D85" s="268"/>
      <c r="E85" s="268"/>
      <c r="F85" s="268"/>
    </row>
    <row r="87" spans="1:53" ht="30.75" customHeight="1">
      <c r="D87" s="268"/>
      <c r="E87" s="268"/>
      <c r="F87" s="268"/>
      <c r="G87" s="268"/>
      <c r="H87" s="268"/>
      <c r="I87" s="268"/>
      <c r="J87" s="268"/>
      <c r="O87"/>
      <c r="P87" s="1291"/>
      <c r="Q87" s="1291"/>
      <c r="R87" s="1291"/>
      <c r="S87" s="1291"/>
      <c r="T87" s="1292"/>
      <c r="U87" s="1296"/>
    </row>
    <row r="88" spans="1:53">
      <c r="O88" s="1291"/>
      <c r="P88" s="1291"/>
      <c r="Q88" s="1291"/>
      <c r="R88" s="1291"/>
      <c r="S88" s="1291"/>
      <c r="T88" s="1292"/>
      <c r="U88" s="1296"/>
    </row>
    <row r="89" spans="1:53" s="1291" customFormat="1" ht="93" customHeight="1">
      <c r="A89" s="2009"/>
      <c r="B89" s="2009"/>
      <c r="C89" s="2009"/>
      <c r="D89" s="2009"/>
      <c r="E89" s="2009"/>
      <c r="F89" s="2009"/>
      <c r="G89" s="2009"/>
      <c r="H89" s="2009"/>
      <c r="I89" s="2009"/>
      <c r="J89" s="2009"/>
      <c r="K89" s="2009"/>
      <c r="L89" s="2009"/>
      <c r="M89" s="2009"/>
      <c r="T89" s="1292"/>
      <c r="U89" s="1296"/>
      <c r="Y89"/>
    </row>
    <row r="90" spans="1:53" s="1296" customFormat="1">
      <c r="A90" s="1288"/>
      <c r="B90" s="1288"/>
      <c r="C90" s="1288"/>
      <c r="D90" s="1288"/>
      <c r="E90" s="1288"/>
      <c r="F90" s="1288"/>
      <c r="G90" s="1288"/>
      <c r="H90" s="1288"/>
      <c r="I90" s="1288"/>
      <c r="J90" s="1288"/>
      <c r="K90" s="1288"/>
      <c r="L90" s="1288"/>
      <c r="M90" s="1288"/>
      <c r="O90" s="1291"/>
      <c r="P90" s="1291"/>
      <c r="Q90" s="1291"/>
      <c r="R90" s="1291"/>
      <c r="S90" s="1291"/>
      <c r="T90" s="1292"/>
      <c r="AX90" s="1527"/>
      <c r="AY90" s="1527"/>
      <c r="AZ90" s="1527"/>
      <c r="BA90" s="1527"/>
    </row>
    <row r="91" spans="1:53" s="1296" customFormat="1" ht="60">
      <c r="A91" s="1288"/>
      <c r="B91" s="1288"/>
      <c r="C91" s="1288"/>
      <c r="D91" s="1288"/>
      <c r="E91" s="1288"/>
      <c r="F91" s="1288"/>
      <c r="G91" s="1288"/>
      <c r="H91" s="1288"/>
      <c r="I91" s="1288"/>
      <c r="J91" s="1288"/>
      <c r="K91" s="1288"/>
      <c r="L91" s="1288"/>
      <c r="M91" s="1288"/>
      <c r="O91" s="1550" t="s">
        <v>247</v>
      </c>
      <c r="P91" s="1551">
        <v>17322</v>
      </c>
      <c r="Q91" s="1291"/>
      <c r="R91" s="1291"/>
      <c r="S91" s="1291"/>
      <c r="T91" s="1292"/>
      <c r="AX91" s="1527"/>
      <c r="AY91" s="1527"/>
      <c r="AZ91" s="1527"/>
      <c r="BA91" s="1527"/>
    </row>
    <row r="92" spans="1:53" s="1296" customFormat="1" ht="60.75" thickBot="1">
      <c r="A92" s="1288"/>
      <c r="B92" s="1288"/>
      <c r="C92" s="1288"/>
      <c r="D92" s="1288"/>
      <c r="E92" s="1288"/>
      <c r="F92" s="1288"/>
      <c r="G92" s="1288"/>
      <c r="H92" s="1288"/>
      <c r="I92" s="1288"/>
      <c r="J92" s="1288"/>
      <c r="K92" s="1288"/>
      <c r="L92" s="1288"/>
      <c r="M92" s="1288"/>
      <c r="N92" s="1548"/>
      <c r="O92" s="1550" t="s">
        <v>248</v>
      </c>
      <c r="P92" s="1551">
        <v>15200</v>
      </c>
      <c r="Q92" s="1291"/>
      <c r="R92" s="1291"/>
      <c r="S92" s="1291"/>
      <c r="T92" s="1292"/>
      <c r="AX92" s="1527"/>
      <c r="AY92" s="1527"/>
      <c r="AZ92" s="1527"/>
      <c r="BA92" s="1527"/>
    </row>
    <row r="93" spans="1:53" s="1296" customFormat="1" ht="409.6" thickTop="1" thickBot="1">
      <c r="A93" s="1288"/>
      <c r="B93" s="1288"/>
      <c r="C93" s="1288"/>
      <c r="D93" s="1288"/>
      <c r="E93" s="1288"/>
      <c r="F93" s="1288"/>
      <c r="G93" s="1288"/>
      <c r="H93" s="1288"/>
      <c r="I93" s="1288"/>
      <c r="J93" s="1288"/>
      <c r="K93" s="1288"/>
      <c r="L93" s="1288"/>
      <c r="M93" s="1288"/>
      <c r="N93" s="1548"/>
      <c r="O93" s="1550" t="s">
        <v>249</v>
      </c>
      <c r="P93" s="1551">
        <v>69</v>
      </c>
      <c r="Q93" s="1291"/>
      <c r="R93" s="1291"/>
      <c r="S93" s="1291"/>
      <c r="T93" s="1292"/>
      <c r="AX93" s="1527"/>
      <c r="AY93" s="1540" t="s">
        <v>214</v>
      </c>
      <c r="AZ93" s="1541">
        <f>+BA93/1000000</f>
        <v>89.639951530000005</v>
      </c>
      <c r="BA93" s="1542">
        <v>89639951.530000001</v>
      </c>
    </row>
    <row r="94" spans="1:53" s="1296" customFormat="1" ht="61.5" thickTop="1" thickBot="1">
      <c r="A94" s="1288"/>
      <c r="B94" s="1288"/>
      <c r="C94" s="1288"/>
      <c r="D94" s="1288"/>
      <c r="E94" s="1288"/>
      <c r="F94" s="1288"/>
      <c r="G94" s="1288"/>
      <c r="H94" s="1288"/>
      <c r="I94" s="1288"/>
      <c r="J94" s="1288"/>
      <c r="K94" s="1288"/>
      <c r="L94" s="1288"/>
      <c r="M94" s="1288"/>
      <c r="N94" s="1548"/>
      <c r="O94" s="1587"/>
      <c r="P94" s="1291"/>
      <c r="Q94" s="1291"/>
      <c r="R94" s="1291"/>
      <c r="S94" s="1291"/>
      <c r="T94" s="1292"/>
      <c r="AX94" s="1527"/>
      <c r="AY94" s="1540"/>
      <c r="AZ94" s="1541"/>
      <c r="BA94" s="1542"/>
    </row>
    <row r="95" spans="1:53" s="1296" customFormat="1" ht="61.5" thickTop="1" thickBot="1">
      <c r="A95" s="1288"/>
      <c r="B95" s="1288"/>
      <c r="C95" s="1288"/>
      <c r="D95" s="1288"/>
      <c r="E95" s="1288"/>
      <c r="F95" s="1288"/>
      <c r="G95" s="1288"/>
      <c r="H95" s="1288"/>
      <c r="I95" s="1288"/>
      <c r="J95" s="1288"/>
      <c r="K95" s="1288"/>
      <c r="L95" s="1288"/>
      <c r="M95" s="1288"/>
      <c r="N95" s="1548"/>
      <c r="O95" s="1587"/>
      <c r="P95" s="1291"/>
      <c r="Q95" s="1291"/>
      <c r="R95" s="1291"/>
      <c r="S95" s="1291"/>
      <c r="T95" s="1292"/>
      <c r="AX95" s="1527"/>
      <c r="AY95" s="1540"/>
      <c r="AZ95" s="1541"/>
      <c r="BA95" s="1542"/>
    </row>
    <row r="96" spans="1:53" s="1296" customFormat="1" ht="61.5" thickTop="1" thickBot="1">
      <c r="A96" s="1288"/>
      <c r="B96" s="1288"/>
      <c r="C96" s="1288"/>
      <c r="D96" s="1288"/>
      <c r="E96" s="1288"/>
      <c r="F96" s="1288"/>
      <c r="G96" s="1288"/>
      <c r="H96" s="1288"/>
      <c r="I96" s="1288"/>
      <c r="J96" s="1288"/>
      <c r="K96" s="1288"/>
      <c r="L96" s="1288"/>
      <c r="M96" s="1288"/>
      <c r="N96" s="1548"/>
      <c r="O96" s="1587"/>
      <c r="P96" s="1291"/>
      <c r="Q96" s="1291"/>
      <c r="R96" s="1291"/>
      <c r="S96" s="1291"/>
      <c r="T96" s="1292"/>
      <c r="AX96" s="1527"/>
      <c r="AY96" s="1540"/>
      <c r="AZ96" s="1541"/>
      <c r="BA96" s="1542"/>
    </row>
    <row r="97" spans="1:53" s="1296" customFormat="1" ht="61.5" thickTop="1" thickBot="1">
      <c r="A97" s="1288"/>
      <c r="B97" s="1288"/>
      <c r="C97" s="1288"/>
      <c r="D97" s="1288"/>
      <c r="E97" s="1288"/>
      <c r="F97" s="1288"/>
      <c r="G97" s="1288"/>
      <c r="H97" s="1288"/>
      <c r="I97" s="1288"/>
      <c r="J97" s="1288"/>
      <c r="K97" s="1288"/>
      <c r="L97" s="1288"/>
      <c r="M97" s="1288"/>
      <c r="N97" s="1548"/>
      <c r="O97" s="1587"/>
      <c r="P97" s="1291"/>
      <c r="Q97" s="1291"/>
      <c r="R97" s="1291"/>
      <c r="S97" s="1291"/>
      <c r="T97" s="1292"/>
      <c r="AX97" s="1527"/>
      <c r="AY97" s="1540"/>
      <c r="AZ97" s="1541"/>
      <c r="BA97" s="1542"/>
    </row>
    <row r="98" spans="1:53" s="1296" customFormat="1" ht="61.5" thickTop="1" thickBot="1">
      <c r="A98" s="1288"/>
      <c r="B98" s="1288"/>
      <c r="C98" s="1288"/>
      <c r="D98" s="1288"/>
      <c r="E98" s="1288"/>
      <c r="F98" s="1288"/>
      <c r="G98" s="1288"/>
      <c r="H98" s="1288"/>
      <c r="I98" s="1288"/>
      <c r="J98" s="1288"/>
      <c r="K98" s="1288"/>
      <c r="L98" s="1288"/>
      <c r="M98" s="1288"/>
      <c r="N98" s="1548"/>
      <c r="O98" s="1587"/>
      <c r="P98" s="1291"/>
      <c r="Q98" s="1291"/>
      <c r="R98" s="1291"/>
      <c r="S98" s="1291"/>
      <c r="T98" s="1292"/>
      <c r="AX98" s="1527"/>
      <c r="AY98" s="1540"/>
      <c r="AZ98" s="1541"/>
      <c r="BA98" s="1542"/>
    </row>
    <row r="99" spans="1:53" s="1296" customFormat="1" ht="61.5" thickTop="1" thickBot="1">
      <c r="A99" s="1288"/>
      <c r="B99" s="1288"/>
      <c r="C99" s="1288"/>
      <c r="D99" s="1288"/>
      <c r="E99" s="1288"/>
      <c r="F99" s="1288"/>
      <c r="G99" s="1288"/>
      <c r="H99" s="1288"/>
      <c r="I99" s="1288"/>
      <c r="J99" s="1288"/>
      <c r="K99" s="1288"/>
      <c r="L99" s="1288"/>
      <c r="M99" s="1288"/>
      <c r="N99" s="1548"/>
      <c r="O99" s="1587"/>
      <c r="P99" s="1291"/>
      <c r="Q99" s="1291"/>
      <c r="R99" s="1291"/>
      <c r="S99" s="1291"/>
      <c r="T99" s="1292"/>
      <c r="AX99" s="1527"/>
      <c r="AY99" s="1540"/>
      <c r="AZ99" s="1541"/>
      <c r="BA99" s="1542"/>
    </row>
    <row r="100" spans="1:53" s="1296" customFormat="1" ht="409.6" thickTop="1" thickBot="1">
      <c r="A100" s="1288"/>
      <c r="B100" s="1288"/>
      <c r="C100" s="1288"/>
      <c r="D100" s="1288"/>
      <c r="E100" s="1288"/>
      <c r="F100" s="1288"/>
      <c r="G100" s="1288"/>
      <c r="H100" s="1288"/>
      <c r="I100" s="1288"/>
      <c r="J100" s="1288"/>
      <c r="K100" s="1288"/>
      <c r="L100" s="1288"/>
      <c r="M100" s="1288"/>
      <c r="O100" s="1549"/>
      <c r="P100" s="1291"/>
      <c r="Q100" s="1291"/>
      <c r="R100" s="1291"/>
      <c r="S100" s="1291"/>
      <c r="T100" s="1292"/>
      <c r="AX100" s="1527"/>
      <c r="AY100" s="1540" t="s">
        <v>215</v>
      </c>
      <c r="AZ100" s="1541">
        <f>+BA100/1000000</f>
        <v>47523.075413729995</v>
      </c>
      <c r="BA100" s="1542">
        <v>47523075413.729996</v>
      </c>
    </row>
    <row r="101" spans="1:53" s="1296" customFormat="1" ht="409.6" thickTop="1" thickBot="1">
      <c r="A101" s="1288"/>
      <c r="B101" s="1288"/>
      <c r="C101" s="1288"/>
      <c r="D101" s="1288"/>
      <c r="E101" s="1288"/>
      <c r="F101" s="1288"/>
      <c r="G101" s="1288"/>
      <c r="H101" s="1288"/>
      <c r="I101" s="1288"/>
      <c r="J101" s="1288"/>
      <c r="K101" s="1288"/>
      <c r="L101" s="1288"/>
      <c r="M101" s="1288"/>
      <c r="O101" s="1527"/>
      <c r="P101" s="1527"/>
      <c r="Q101" s="1527"/>
      <c r="R101" s="1527"/>
      <c r="S101" s="1527"/>
      <c r="T101" s="1236"/>
      <c r="U101" s="268"/>
      <c r="AX101" s="1527"/>
      <c r="AY101" s="1540" t="s">
        <v>216</v>
      </c>
      <c r="AZ101" s="1541">
        <f>+BA101/1000000</f>
        <v>70397.902073009987</v>
      </c>
      <c r="BA101" s="1543">
        <v>70397902073.009995</v>
      </c>
    </row>
    <row r="102" spans="1:53" s="1296" customFormat="1" ht="226.5" thickTop="1" thickBot="1">
      <c r="A102" s="1288"/>
      <c r="B102" s="1288"/>
      <c r="C102" s="1288"/>
      <c r="D102" s="1288"/>
      <c r="E102" s="1288"/>
      <c r="F102" s="1288"/>
      <c r="G102" s="1288"/>
      <c r="H102" s="1288"/>
      <c r="I102" s="1288"/>
      <c r="J102" s="1288"/>
      <c r="K102" s="1288"/>
      <c r="L102" s="1288"/>
      <c r="M102" s="1288"/>
      <c r="O102" s="1527"/>
      <c r="P102" s="1527"/>
      <c r="Q102" s="1527"/>
      <c r="R102" s="1527"/>
      <c r="S102" s="1527"/>
      <c r="T102" s="1236"/>
      <c r="U102" s="268"/>
      <c r="AX102" s="1527"/>
      <c r="AY102" s="1540" t="s">
        <v>217</v>
      </c>
      <c r="AZ102" s="1541">
        <f>+BA102/1000000</f>
        <v>133045.07545388001</v>
      </c>
      <c r="BA102" s="1542">
        <v>133045075453.88</v>
      </c>
    </row>
    <row r="103" spans="1:53" s="1296" customFormat="1" ht="47.25" thickTop="1">
      <c r="A103" s="1288"/>
      <c r="B103" s="1288"/>
      <c r="C103" s="1288"/>
      <c r="D103" s="1288"/>
      <c r="E103" s="1288"/>
      <c r="F103" s="1288"/>
      <c r="G103" s="1288"/>
      <c r="H103" s="1288"/>
      <c r="I103" s="1288"/>
      <c r="J103" s="1288"/>
      <c r="K103" s="1288"/>
      <c r="L103" s="1288"/>
      <c r="M103" s="1288"/>
      <c r="O103" s="1536" t="s">
        <v>196</v>
      </c>
      <c r="P103" s="1537" t="s">
        <v>197</v>
      </c>
      <c r="Q103" s="1537" t="s">
        <v>198</v>
      </c>
      <c r="R103" s="1537" t="s">
        <v>199</v>
      </c>
      <c r="S103" s="320" t="s">
        <v>200</v>
      </c>
      <c r="T103" s="1236"/>
      <c r="U103" s="268"/>
      <c r="AX103" s="1527"/>
      <c r="AY103" s="1527"/>
      <c r="AZ103" s="1527"/>
      <c r="BA103" s="1527"/>
    </row>
    <row r="104" spans="1:53" s="1296" customFormat="1" ht="46.5">
      <c r="A104" s="1288"/>
      <c r="B104" s="1288"/>
      <c r="C104" s="1288"/>
      <c r="D104" s="1288"/>
      <c r="E104" s="1288"/>
      <c r="F104" s="1288"/>
      <c r="G104" s="1288"/>
      <c r="H104" s="1288"/>
      <c r="I104" s="1288"/>
      <c r="J104" s="1288"/>
      <c r="K104" s="1288"/>
      <c r="L104" s="1288"/>
      <c r="M104" s="1288"/>
      <c r="O104" s="1538" t="s">
        <v>201</v>
      </c>
      <c r="P104" s="1539">
        <v>40909</v>
      </c>
      <c r="Q104" s="1539">
        <v>41639</v>
      </c>
      <c r="R104" s="1539" t="s">
        <v>202</v>
      </c>
      <c r="S104" s="323">
        <v>181.34</v>
      </c>
      <c r="T104" s="1236"/>
      <c r="U104" s="268"/>
      <c r="AX104" s="520"/>
      <c r="AY104" s="520"/>
      <c r="AZ104" s="520"/>
      <c r="BA104" s="520"/>
    </row>
    <row r="105" spans="1:53" s="1296" customFormat="1" ht="46.5">
      <c r="A105" s="1288"/>
      <c r="B105" s="1288"/>
      <c r="C105" s="1288"/>
      <c r="D105" s="1288"/>
      <c r="E105" s="1288"/>
      <c r="F105" s="1288"/>
      <c r="G105" s="1288"/>
      <c r="H105" s="1288"/>
      <c r="I105" s="1288"/>
      <c r="J105" s="1288"/>
      <c r="K105" s="1288"/>
      <c r="L105" s="1288"/>
      <c r="M105" s="1288"/>
      <c r="O105" s="1538" t="s">
        <v>203</v>
      </c>
      <c r="P105" s="1539">
        <v>41640</v>
      </c>
      <c r="Q105" s="1539">
        <v>42735</v>
      </c>
      <c r="R105" s="1539" t="s">
        <v>204</v>
      </c>
      <c r="S105" s="323">
        <v>201.34</v>
      </c>
      <c r="T105" s="1236"/>
      <c r="U105" s="268"/>
    </row>
    <row r="106" spans="1:53" s="1296" customFormat="1" ht="46.5">
      <c r="A106" s="1288"/>
      <c r="B106" s="1288"/>
      <c r="C106" s="1288"/>
      <c r="D106" s="1288"/>
      <c r="E106" s="1288"/>
      <c r="F106" s="1288"/>
      <c r="G106" s="1288"/>
      <c r="H106" s="1288"/>
      <c r="I106" s="1288"/>
      <c r="J106" s="1288"/>
      <c r="K106" s="1288"/>
      <c r="L106" s="1288"/>
      <c r="M106" s="1288"/>
      <c r="O106" s="1538" t="s">
        <v>205</v>
      </c>
      <c r="P106" s="1539">
        <v>42736</v>
      </c>
      <c r="Q106" s="1539">
        <v>43131</v>
      </c>
      <c r="R106" s="1539" t="s">
        <v>206</v>
      </c>
      <c r="S106" s="323">
        <v>216.38</v>
      </c>
      <c r="T106" s="1236"/>
      <c r="U106" s="268"/>
    </row>
    <row r="107" spans="1:53" s="1296" customFormat="1" ht="46.5">
      <c r="A107" s="1288"/>
      <c r="B107" s="1288"/>
      <c r="C107" s="1288"/>
      <c r="D107" s="1288"/>
      <c r="E107" s="1288"/>
      <c r="F107" s="1288"/>
      <c r="G107" s="1288"/>
      <c r="H107" s="1288"/>
      <c r="I107" s="1288"/>
      <c r="J107" s="1288"/>
      <c r="K107" s="1288"/>
      <c r="L107" s="1288"/>
      <c r="M107" s="1288"/>
      <c r="O107" s="1538" t="s">
        <v>207</v>
      </c>
      <c r="P107" s="1539">
        <v>43132</v>
      </c>
      <c r="Q107" s="1539">
        <v>43921</v>
      </c>
      <c r="R107" s="1539" t="s">
        <v>208</v>
      </c>
      <c r="S107" s="323">
        <v>220.38</v>
      </c>
      <c r="T107" s="1236"/>
      <c r="U107" s="268"/>
    </row>
    <row r="108" spans="1:53" s="1296" customFormat="1" ht="98.25" customHeight="1">
      <c r="A108" s="1288"/>
      <c r="B108" s="1288"/>
      <c r="C108" s="1288"/>
      <c r="D108" s="1288"/>
      <c r="E108" s="1288"/>
      <c r="F108" s="1288"/>
      <c r="G108" s="1288"/>
      <c r="H108" s="1288"/>
      <c r="I108" s="1288"/>
      <c r="J108" s="1288"/>
      <c r="K108" s="1288"/>
      <c r="L108" s="1288"/>
      <c r="M108" s="1288"/>
      <c r="O108" s="1538" t="s">
        <v>209</v>
      </c>
      <c r="P108" s="1539">
        <v>43922</v>
      </c>
      <c r="Q108" s="1539">
        <v>44561</v>
      </c>
      <c r="R108" s="1539" t="s">
        <v>210</v>
      </c>
      <c r="S108" s="323">
        <v>237.38</v>
      </c>
      <c r="T108" s="1236"/>
      <c r="U108" s="268"/>
    </row>
    <row r="109" spans="1:53" s="1296" customFormat="1" ht="46.5">
      <c r="A109" s="1288"/>
      <c r="B109" s="1288"/>
      <c r="C109" s="1288"/>
      <c r="D109" s="1288"/>
      <c r="E109" s="1288"/>
      <c r="F109" s="1288"/>
      <c r="G109" s="1288"/>
      <c r="H109" s="1288"/>
      <c r="I109" s="1288"/>
      <c r="J109" s="1288"/>
      <c r="K109" s="1288"/>
      <c r="L109" s="1288"/>
      <c r="M109" s="1288"/>
      <c r="O109" s="1538" t="s">
        <v>211</v>
      </c>
      <c r="P109" s="1539">
        <v>44562</v>
      </c>
      <c r="Q109" s="1539" t="s">
        <v>212</v>
      </c>
      <c r="R109" s="1539" t="s">
        <v>213</v>
      </c>
      <c r="S109" s="323">
        <v>259.43</v>
      </c>
      <c r="T109" s="1236"/>
      <c r="U109" s="268"/>
    </row>
    <row r="110" spans="1:53" s="1296" customFormat="1" ht="46.5">
      <c r="A110" s="1288"/>
      <c r="B110" s="1288"/>
      <c r="C110" s="1288"/>
      <c r="D110" s="1288"/>
      <c r="E110" s="1288"/>
      <c r="F110" s="1288"/>
      <c r="G110" s="1288"/>
      <c r="H110" s="1288"/>
      <c r="I110" s="1288"/>
      <c r="J110" s="1288"/>
      <c r="K110" s="1288"/>
      <c r="L110" s="1288"/>
      <c r="M110" s="1288"/>
      <c r="O110" s="1588"/>
      <c r="P110" s="1589"/>
      <c r="Q110" s="1589"/>
      <c r="R110" s="1589"/>
      <c r="S110" s="1590"/>
      <c r="T110" s="1236"/>
      <c r="U110" s="268"/>
    </row>
    <row r="111" spans="1:53" s="1296" customFormat="1" ht="46.5">
      <c r="A111" s="1288"/>
      <c r="B111" s="1288"/>
      <c r="C111" s="1288"/>
      <c r="D111" s="1288"/>
      <c r="E111" s="1288"/>
      <c r="F111" s="1288"/>
      <c r="G111" s="1288"/>
      <c r="H111" s="1288"/>
      <c r="I111" s="1288"/>
      <c r="J111" s="1288"/>
      <c r="K111" s="1288"/>
      <c r="L111" s="1288"/>
      <c r="M111" s="1288"/>
      <c r="O111" s="1588"/>
      <c r="P111" s="1589"/>
      <c r="Q111" s="1589"/>
      <c r="R111" s="1589"/>
      <c r="S111" s="1590"/>
      <c r="T111" s="1236"/>
      <c r="U111" s="268"/>
    </row>
    <row r="112" spans="1:53" s="1296" customFormat="1" ht="46.5">
      <c r="A112" s="1288"/>
      <c r="B112" s="1288"/>
      <c r="C112" s="1288"/>
      <c r="D112" s="1288"/>
      <c r="E112" s="1288"/>
      <c r="F112" s="1288"/>
      <c r="G112" s="1288"/>
      <c r="H112" s="1288"/>
      <c r="I112" s="1288"/>
      <c r="J112" s="1288"/>
      <c r="K112" s="1288"/>
      <c r="L112" s="1288"/>
      <c r="M112" s="1288"/>
      <c r="O112" s="1588"/>
      <c r="P112" s="1589"/>
      <c r="Q112" s="1589"/>
      <c r="R112" s="1589"/>
      <c r="S112" s="1590"/>
      <c r="T112" s="1236"/>
      <c r="U112" s="268"/>
    </row>
    <row r="113" spans="1:21" s="1296" customFormat="1" ht="46.5">
      <c r="A113" s="1288"/>
      <c r="B113" s="1288"/>
      <c r="C113" s="1288"/>
      <c r="D113" s="1288"/>
      <c r="E113" s="1288"/>
      <c r="F113" s="1288"/>
      <c r="G113" s="1288"/>
      <c r="H113" s="1288"/>
      <c r="I113" s="1288"/>
      <c r="J113" s="1288"/>
      <c r="K113" s="1288"/>
      <c r="L113" s="1288"/>
      <c r="M113" s="1288"/>
      <c r="O113" s="1588"/>
      <c r="P113" s="1589"/>
      <c r="Q113" s="1589"/>
      <c r="R113" s="1589"/>
      <c r="S113" s="1590"/>
      <c r="T113" s="1236"/>
      <c r="U113" s="268"/>
    </row>
    <row r="114" spans="1:21" s="1296" customFormat="1" ht="46.5">
      <c r="A114" s="1288"/>
      <c r="B114" s="1288"/>
      <c r="C114" s="1288"/>
      <c r="D114" s="1288"/>
      <c r="E114" s="1288"/>
      <c r="F114" s="1288"/>
      <c r="G114" s="1288"/>
      <c r="H114" s="1288"/>
      <c r="I114" s="1288"/>
      <c r="J114" s="1288"/>
      <c r="K114" s="1288"/>
      <c r="L114" s="1288"/>
      <c r="M114" s="1288"/>
      <c r="O114" s="1588"/>
      <c r="P114" s="1589"/>
      <c r="Q114" s="1589"/>
      <c r="R114" s="1589"/>
      <c r="S114" s="1590"/>
      <c r="T114" s="1236"/>
      <c r="U114" s="268"/>
    </row>
    <row r="115" spans="1:21" s="1296" customFormat="1" ht="46.5">
      <c r="A115" s="1288"/>
      <c r="B115" s="1288"/>
      <c r="C115" s="1288"/>
      <c r="D115" s="1288"/>
      <c r="E115" s="1288"/>
      <c r="F115" s="1288"/>
      <c r="G115" s="1288"/>
      <c r="H115" s="1288"/>
      <c r="I115" s="1288"/>
      <c r="J115" s="1288"/>
      <c r="K115" s="1288"/>
      <c r="L115" s="1288"/>
      <c r="M115" s="1288"/>
      <c r="O115" s="1588"/>
      <c r="P115" s="1589"/>
      <c r="Q115" s="1589"/>
      <c r="R115" s="1589"/>
      <c r="S115" s="1590"/>
      <c r="T115" s="1236"/>
      <c r="U115" s="268"/>
    </row>
    <row r="116" spans="1:21" s="1296" customFormat="1" ht="46.5">
      <c r="A116" s="1288"/>
      <c r="B116" s="1288"/>
      <c r="C116" s="1288"/>
      <c r="D116" s="1288"/>
      <c r="E116" s="1288"/>
      <c r="F116" s="1288"/>
      <c r="G116" s="1288"/>
      <c r="H116" s="1288"/>
      <c r="I116" s="1288"/>
      <c r="J116" s="1288"/>
      <c r="K116" s="1288"/>
      <c r="L116" s="1288"/>
      <c r="M116" s="1288"/>
      <c r="O116" s="1588"/>
      <c r="P116" s="1589"/>
      <c r="Q116" s="1589"/>
      <c r="R116" s="1589"/>
      <c r="S116" s="1590"/>
      <c r="T116" s="1236"/>
      <c r="U116" s="268"/>
    </row>
    <row r="117" spans="1:21" s="1296" customFormat="1" ht="46.5">
      <c r="A117" s="1288"/>
      <c r="B117" s="1288"/>
      <c r="C117" s="1288"/>
      <c r="D117" s="1288"/>
      <c r="E117" s="1288"/>
      <c r="F117" s="1288"/>
      <c r="G117" s="1288"/>
      <c r="H117" s="1288"/>
      <c r="I117" s="1288"/>
      <c r="J117" s="1288"/>
      <c r="K117" s="1288"/>
      <c r="L117" s="1288"/>
      <c r="M117" s="1288"/>
      <c r="O117" s="1588"/>
      <c r="P117" s="1589"/>
      <c r="Q117" s="1589"/>
      <c r="R117" s="1589"/>
      <c r="S117" s="1590"/>
      <c r="T117" s="1236"/>
      <c r="U117" s="268"/>
    </row>
  </sheetData>
  <mergeCells count="10">
    <mergeCell ref="O50:R50"/>
    <mergeCell ref="G64:M64"/>
    <mergeCell ref="A89:G89"/>
    <mergeCell ref="H89:M89"/>
    <mergeCell ref="A1:M1"/>
    <mergeCell ref="D6:F6"/>
    <mergeCell ref="A13:E13"/>
    <mergeCell ref="C23:D23"/>
    <mergeCell ref="A25:E25"/>
    <mergeCell ref="O30:R30"/>
  </mergeCells>
  <pageMargins left="0.70866141732283472" right="0.70866141732283472" top="0.74803149606299213" bottom="0.74803149606299213" header="0.31496062992125984" footer="0.31496062992125984"/>
  <pageSetup scale="17" fitToHeight="0" orientation="landscape" r:id="rId1"/>
  <rowBreaks count="2" manualBreakCount="2">
    <brk id="43" max="12" man="1"/>
    <brk id="89" max="12"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3">
    <tabColor theme="8" tint="-0.249977111117893"/>
    <pageSetUpPr fitToPage="1"/>
  </sheetPr>
  <dimension ref="A1:M157"/>
  <sheetViews>
    <sheetView showGridLines="0" view="pageBreakPreview" zoomScale="85" zoomScaleNormal="100" zoomScaleSheetLayoutView="85" workbookViewId="0">
      <pane ySplit="1" topLeftCell="A12" activePane="bottomLeft" state="frozen"/>
      <selection pane="bottomLeft" activeCell="B22" sqref="B22"/>
      <selection activeCell="A6" sqref="A6:J27"/>
    </sheetView>
  </sheetViews>
  <sheetFormatPr defaultColWidth="11.42578125" defaultRowHeight="22.5" customHeight="1"/>
  <cols>
    <col min="1" max="1" width="20.140625" style="21" customWidth="1"/>
    <col min="2" max="2" width="26.7109375" style="103" customWidth="1"/>
    <col min="3" max="3" width="22.85546875" style="103" customWidth="1"/>
    <col min="4" max="4" width="19.140625" style="103" customWidth="1"/>
    <col min="5" max="5" width="21.7109375" style="103"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548" customFormat="1" ht="81" customHeight="1">
      <c r="A1" s="2310" t="s">
        <v>1050</v>
      </c>
      <c r="B1" s="2310"/>
      <c r="C1" s="2310"/>
      <c r="D1" s="2310"/>
      <c r="E1" s="2310"/>
      <c r="F1" s="2310"/>
      <c r="G1" s="2310"/>
      <c r="H1" s="2310"/>
      <c r="I1" s="2310"/>
      <c r="J1" s="547"/>
    </row>
    <row r="2" spans="1:13" ht="22.5" customHeight="1">
      <c r="A2" s="2311" t="str">
        <f>+'Resumen '!O4</f>
        <v>Período:  Diciembre 2008 - Abril 2025</v>
      </c>
      <c r="B2" s="2311"/>
      <c r="C2" s="2311"/>
      <c r="D2" s="2311"/>
      <c r="E2" s="2311"/>
      <c r="F2" s="2311"/>
      <c r="G2" s="2311"/>
      <c r="H2" s="2311"/>
      <c r="I2" s="2311"/>
      <c r="J2" s="231"/>
    </row>
    <row r="3" spans="1:13" ht="13.5" customHeight="1">
      <c r="A3" s="2307"/>
      <c r="B3" s="2307"/>
      <c r="C3" s="2307"/>
      <c r="D3" s="2307"/>
      <c r="E3" s="2307"/>
      <c r="F3" s="2307"/>
      <c r="G3" s="2307"/>
      <c r="H3" s="2307"/>
      <c r="I3" s="2307"/>
      <c r="J3" s="32"/>
    </row>
    <row r="4" spans="1:13" s="525" customFormat="1" ht="59.25" customHeight="1">
      <c r="A4" s="1150" t="s">
        <v>262</v>
      </c>
      <c r="B4" s="1151" t="s">
        <v>1051</v>
      </c>
      <c r="C4" s="1151" t="s">
        <v>1052</v>
      </c>
      <c r="D4" s="1151" t="s">
        <v>1053</v>
      </c>
      <c r="E4" s="1152" t="s">
        <v>1054</v>
      </c>
      <c r="G4" s="16"/>
    </row>
    <row r="5" spans="1:13" ht="16.5" customHeight="1">
      <c r="A5" s="587">
        <v>2008</v>
      </c>
      <c r="B5" s="588">
        <v>68371.91</v>
      </c>
      <c r="C5" s="588">
        <v>0</v>
      </c>
      <c r="D5" s="588">
        <v>1661642.6804877073</v>
      </c>
      <c r="E5" s="589">
        <f t="shared" ref="E5:E12" si="0">B5/D5</f>
        <v>4.1147179717321791E-2</v>
      </c>
      <c r="G5"/>
      <c r="H5" s="44"/>
      <c r="M5" s="14"/>
    </row>
    <row r="6" spans="1:13" ht="16.5" customHeight="1">
      <c r="A6" s="587">
        <v>2009</v>
      </c>
      <c r="B6" s="588">
        <v>94318.74</v>
      </c>
      <c r="C6" s="590">
        <f t="shared" ref="C6:C11" si="1">B6/B5-1</f>
        <v>0.37949546824127034</v>
      </c>
      <c r="D6" s="588">
        <v>1736041.0636671539</v>
      </c>
      <c r="E6" s="589">
        <f t="shared" si="0"/>
        <v>5.4329786301692835E-2</v>
      </c>
      <c r="G6"/>
      <c r="M6" s="14"/>
    </row>
    <row r="7" spans="1:13" ht="16.5" customHeight="1">
      <c r="A7" s="587">
        <v>2010</v>
      </c>
      <c r="B7" s="588">
        <v>120339.19</v>
      </c>
      <c r="C7" s="590">
        <f t="shared" si="1"/>
        <v>0.27587783721453452</v>
      </c>
      <c r="D7" s="588">
        <v>1983201.6822193242</v>
      </c>
      <c r="E7" s="589">
        <f t="shared" si="0"/>
        <v>6.0679249659234394E-2</v>
      </c>
      <c r="G7"/>
      <c r="L7" s="100"/>
      <c r="M7" s="14"/>
    </row>
    <row r="8" spans="1:13" customFormat="1" ht="16.5" customHeight="1">
      <c r="A8" s="587">
        <v>2011</v>
      </c>
      <c r="B8" s="588">
        <v>154672.16</v>
      </c>
      <c r="C8" s="590">
        <f t="shared" si="1"/>
        <v>0.28530165443194355</v>
      </c>
      <c r="D8" s="588">
        <v>2210213.9344516792</v>
      </c>
      <c r="E8" s="589">
        <f t="shared" si="0"/>
        <v>6.9980628385809096E-2</v>
      </c>
      <c r="F8" s="33"/>
      <c r="H8" s="21"/>
      <c r="K8" s="21"/>
      <c r="L8" s="100"/>
      <c r="M8" s="14"/>
    </row>
    <row r="9" spans="1:13" customFormat="1" ht="16.5" customHeight="1">
      <c r="A9" s="587">
        <v>2012</v>
      </c>
      <c r="B9" s="588">
        <v>198249.65</v>
      </c>
      <c r="C9" s="590">
        <f t="shared" si="1"/>
        <v>0.28174100626770837</v>
      </c>
      <c r="D9" s="588">
        <v>2386016.246957059</v>
      </c>
      <c r="E9" s="589">
        <f t="shared" si="0"/>
        <v>8.308813917458957E-2</v>
      </c>
      <c r="F9" s="33"/>
      <c r="H9" s="21"/>
      <c r="K9" s="21"/>
      <c r="L9" s="100"/>
      <c r="M9" s="14"/>
    </row>
    <row r="10" spans="1:13" customFormat="1" ht="16.5" customHeight="1">
      <c r="A10" s="587">
        <v>2013</v>
      </c>
      <c r="B10" s="588">
        <v>248516.38566900001</v>
      </c>
      <c r="C10" s="590">
        <f t="shared" si="1"/>
        <v>0.25355270825951015</v>
      </c>
      <c r="D10" s="588">
        <v>2619769.6965127527</v>
      </c>
      <c r="E10" s="589">
        <f t="shared" si="0"/>
        <v>9.486192087793327E-2</v>
      </c>
      <c r="F10" s="33"/>
      <c r="H10" s="21"/>
      <c r="K10" s="21"/>
      <c r="L10" s="100"/>
      <c r="M10" s="14"/>
    </row>
    <row r="11" spans="1:13" customFormat="1" ht="16.5" customHeight="1">
      <c r="A11" s="587">
        <v>2014</v>
      </c>
      <c r="B11" s="588">
        <v>305297.32352799998</v>
      </c>
      <c r="C11" s="590">
        <f t="shared" si="1"/>
        <v>0.2284796541932117</v>
      </c>
      <c r="D11" s="588">
        <v>2925665.101870168</v>
      </c>
      <c r="E11" s="589">
        <f t="shared" si="0"/>
        <v>0.1043514253674644</v>
      </c>
      <c r="F11" s="33"/>
      <c r="H11" s="21"/>
      <c r="K11" s="21"/>
      <c r="L11" s="100"/>
      <c r="M11" s="14"/>
    </row>
    <row r="12" spans="1:13" customFormat="1" ht="16.5" customHeight="1">
      <c r="A12" s="587">
        <v>2015</v>
      </c>
      <c r="B12" s="588">
        <v>367708.87092800002</v>
      </c>
      <c r="C12" s="590">
        <f>B12/B11-1</f>
        <v>0.20442874073960238</v>
      </c>
      <c r="D12" s="588">
        <v>3205655.1361474036</v>
      </c>
      <c r="E12" s="589">
        <f t="shared" si="0"/>
        <v>0.11470630972797564</v>
      </c>
      <c r="F12" s="33"/>
      <c r="H12" s="21"/>
      <c r="K12" s="21"/>
      <c r="L12" s="100"/>
      <c r="M12" s="14"/>
    </row>
    <row r="13" spans="1:13" customFormat="1" ht="16.5" customHeight="1">
      <c r="A13" s="587">
        <v>2016</v>
      </c>
      <c r="B13" s="588">
        <v>436929.96823200001</v>
      </c>
      <c r="C13" s="590">
        <v>0.18824973444155502</v>
      </c>
      <c r="D13" s="588">
        <v>3487292.5127027496</v>
      </c>
      <c r="E13" s="589">
        <v>0.13300480292241038</v>
      </c>
      <c r="F13" s="121"/>
      <c r="H13" s="21"/>
      <c r="K13" s="21"/>
      <c r="L13" s="100"/>
      <c r="M13" s="14"/>
    </row>
    <row r="14" spans="1:13" customFormat="1" ht="16.5" customHeight="1">
      <c r="A14" s="587">
        <v>2017</v>
      </c>
      <c r="B14" s="588">
        <f>520077015573/1000000</f>
        <v>520077.01557300001</v>
      </c>
      <c r="C14" s="590">
        <f t="shared" ref="C14:C22" si="2">B14/B13-1</f>
        <v>0.19029833929095652</v>
      </c>
      <c r="D14" s="588">
        <v>3802655.7724425402</v>
      </c>
      <c r="E14" s="589">
        <f t="shared" ref="E14:E22" si="3">B14/D14</f>
        <v>0.13676678792278418</v>
      </c>
      <c r="F14" s="121"/>
      <c r="H14" s="21"/>
      <c r="L14" s="85"/>
      <c r="M14" s="14"/>
    </row>
    <row r="15" spans="1:13" customFormat="1" ht="16.5" customHeight="1">
      <c r="A15" s="587">
        <v>2018</v>
      </c>
      <c r="B15" s="588">
        <v>599976.12957899994</v>
      </c>
      <c r="C15" s="590">
        <f t="shared" si="2"/>
        <v>0.15362938875114551</v>
      </c>
      <c r="D15" s="588">
        <v>4235846.7669485277</v>
      </c>
      <c r="E15" s="589">
        <f t="shared" si="3"/>
        <v>0.14164254813476604</v>
      </c>
      <c r="F15" s="121"/>
      <c r="H15" s="21"/>
      <c r="L15" s="85"/>
      <c r="M15" s="14"/>
    </row>
    <row r="16" spans="1:13" customFormat="1" ht="16.5" customHeight="1">
      <c r="A16" s="587">
        <v>2019</v>
      </c>
      <c r="B16" s="588">
        <f>707666437209/1000000</f>
        <v>707666.437209</v>
      </c>
      <c r="C16" s="590">
        <f t="shared" si="2"/>
        <v>0.1794909869257062</v>
      </c>
      <c r="D16" s="593">
        <v>4562235.0757361948</v>
      </c>
      <c r="E16" s="589">
        <f t="shared" si="3"/>
        <v>0.1551139793240062</v>
      </c>
      <c r="F16" s="121"/>
      <c r="H16" s="21"/>
      <c r="L16" s="85"/>
      <c r="M16" s="14"/>
    </row>
    <row r="17" spans="1:13" customFormat="1" ht="16.5" customHeight="1">
      <c r="A17" s="587">
        <v>2020</v>
      </c>
      <c r="B17" s="588">
        <v>820942.24981800001</v>
      </c>
      <c r="C17" s="590">
        <f t="shared" si="2"/>
        <v>0.16006949977132434</v>
      </c>
      <c r="D17" s="593">
        <v>4456657.3767522685</v>
      </c>
      <c r="E17" s="589">
        <f t="shared" si="3"/>
        <v>0.18420582522236678</v>
      </c>
      <c r="F17" s="121"/>
      <c r="H17" s="21"/>
      <c r="L17" s="85"/>
      <c r="M17" s="14"/>
    </row>
    <row r="18" spans="1:13" customFormat="1" ht="16.5" customHeight="1">
      <c r="A18" s="591">
        <v>2021</v>
      </c>
      <c r="B18" s="588">
        <v>960567.11641200003</v>
      </c>
      <c r="C18" s="590">
        <f t="shared" si="2"/>
        <v>0.17007879253985814</v>
      </c>
      <c r="D18" s="593">
        <v>5392714.1020838208</v>
      </c>
      <c r="E18" s="589">
        <f t="shared" si="3"/>
        <v>0.17812313025102208</v>
      </c>
      <c r="F18" s="121"/>
      <c r="H18" s="21"/>
      <c r="L18" s="85"/>
      <c r="M18" s="14"/>
    </row>
    <row r="19" spans="1:13" ht="15.75">
      <c r="A19" s="592">
        <v>2022</v>
      </c>
      <c r="B19" s="593">
        <v>1062302.305562</v>
      </c>
      <c r="C19" s="590">
        <f t="shared" si="2"/>
        <v>0.10591158848952764</v>
      </c>
      <c r="D19" s="593">
        <v>6260564.0185964201</v>
      </c>
      <c r="E19" s="589">
        <f t="shared" si="3"/>
        <v>0.1696815658152413</v>
      </c>
      <c r="F19" s="33"/>
      <c r="G19"/>
      <c r="I19"/>
      <c r="K19" s="14"/>
      <c r="M19" s="14"/>
    </row>
    <row r="20" spans="1:13" ht="15.75">
      <c r="A20" s="592">
        <v>2023</v>
      </c>
      <c r="B20" s="593">
        <v>1213344.006122</v>
      </c>
      <c r="C20" s="590">
        <f t="shared" si="2"/>
        <v>0.14218335003998028</v>
      </c>
      <c r="D20" s="593">
        <v>6260564</v>
      </c>
      <c r="E20" s="589">
        <f t="shared" si="3"/>
        <v>0.19380745985856865</v>
      </c>
      <c r="F20" s="33"/>
      <c r="G20"/>
      <c r="I20"/>
      <c r="K20" s="14"/>
      <c r="M20" s="14"/>
    </row>
    <row r="21" spans="1:13" ht="15.75">
      <c r="A21" s="592">
        <v>2024</v>
      </c>
      <c r="B21" s="593">
        <v>1397051.0850722701</v>
      </c>
      <c r="C21" s="590">
        <f t="shared" si="2"/>
        <v>0.15140560139858517</v>
      </c>
      <c r="D21" s="593">
        <v>6820019.2999999998</v>
      </c>
      <c r="E21" s="589">
        <f t="shared" si="3"/>
        <v>0.20484562046214005</v>
      </c>
      <c r="F21" s="33"/>
      <c r="G21"/>
      <c r="I21"/>
      <c r="K21" s="14"/>
      <c r="M21" s="14"/>
    </row>
    <row r="22" spans="1:13" ht="15.75">
      <c r="A22" s="592" t="str">
        <f>+'Resumen '!O6</f>
        <v>Abr.2025</v>
      </c>
      <c r="B22" s="593">
        <f>+'Resumen '!B59/1000000</f>
        <v>1455467.2471073999</v>
      </c>
      <c r="C22" s="590">
        <f t="shared" si="2"/>
        <v>4.1813905489438641E-2</v>
      </c>
      <c r="D22" s="593">
        <f>+'Resumen '!B60/1000000</f>
        <v>6820019.2599957138</v>
      </c>
      <c r="E22" s="589">
        <f t="shared" si="3"/>
        <v>0.21341101712787752</v>
      </c>
      <c r="F22" s="33"/>
      <c r="K22" s="14">
        <f>+Tabla40[[#This Row],[PIB Corriente 
(RD$ Millones)]]-'Resumen '!B60/1000000</f>
        <v>0</v>
      </c>
    </row>
    <row r="23" spans="1:13" ht="29.25" customHeight="1">
      <c r="A23" s="2308" t="s">
        <v>1055</v>
      </c>
      <c r="B23" s="2309"/>
      <c r="C23" s="2309"/>
      <c r="D23" s="2309"/>
      <c r="E23" s="2309"/>
      <c r="J23" s="22"/>
      <c r="K23" s="14"/>
    </row>
    <row r="24" spans="1:13" ht="22.5" customHeight="1">
      <c r="K24" s="14"/>
    </row>
    <row r="25" spans="1:13" ht="22.5" customHeight="1">
      <c r="K25" s="14"/>
    </row>
    <row r="26" spans="1:13" ht="39.75" customHeight="1">
      <c r="K26" s="14"/>
    </row>
    <row r="27" spans="1:13" ht="39.7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sheetData>
  <mergeCells count="4">
    <mergeCell ref="A3:I3"/>
    <mergeCell ref="A23:E23"/>
    <mergeCell ref="A1:I1"/>
    <mergeCell ref="A2:I2"/>
  </mergeCells>
  <conditionalFormatting sqref="C6:C22">
    <cfRule type="cellIs" dxfId="239" priority="1" operator="equal">
      <formula>0</formula>
    </cfRule>
  </conditionalFormatting>
  <pageMargins left="0.70866141732283472" right="0.70866141732283472" top="0.74803149606299213" bottom="0.74803149606299213" header="0.31496062992125984" footer="0.31496062992125984"/>
  <pageSetup paperSize="119" scale="53"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8" tint="-0.249977111117893"/>
    <pageSetUpPr fitToPage="1"/>
  </sheetPr>
  <dimension ref="A1:H88"/>
  <sheetViews>
    <sheetView showGridLines="0" view="pageBreakPreview" zoomScale="85" zoomScaleNormal="100" zoomScaleSheetLayoutView="85" workbookViewId="0">
      <selection activeCell="B7" sqref="B7"/>
    </sheetView>
  </sheetViews>
  <sheetFormatPr defaultColWidth="11.42578125" defaultRowHeight="15"/>
  <cols>
    <col min="1" max="1" width="51.7109375" style="65" customWidth="1"/>
    <col min="2" max="2" width="30.140625" style="65" customWidth="1"/>
    <col min="3" max="5" width="26.5703125" style="65" customWidth="1"/>
    <col min="6" max="6" width="11.42578125" style="65"/>
    <col min="7" max="7" width="25" style="65" customWidth="1"/>
    <col min="8" max="8" width="23" style="65" bestFit="1" customWidth="1"/>
    <col min="9" max="16384" width="11.42578125" style="65"/>
  </cols>
  <sheetData>
    <row r="1" spans="1:8" s="549" customFormat="1" ht="57.75" customHeight="1">
      <c r="A1" s="2129" t="s">
        <v>1056</v>
      </c>
      <c r="B1" s="2129"/>
      <c r="C1" s="2129"/>
      <c r="D1" s="2129"/>
      <c r="E1" s="2129"/>
    </row>
    <row r="2" spans="1:8" s="549" customFormat="1" ht="21" customHeight="1">
      <c r="A2" s="2312" t="s">
        <v>1057</v>
      </c>
      <c r="B2" s="2312"/>
      <c r="C2" s="2312"/>
      <c r="D2" s="2312"/>
      <c r="E2" s="2312"/>
    </row>
    <row r="3" spans="1:8" ht="12.75" customHeight="1"/>
    <row r="4" spans="1:8" s="527" customFormat="1" ht="24" customHeight="1">
      <c r="A4" s="977" t="s">
        <v>1058</v>
      </c>
      <c r="B4" s="978" t="s">
        <v>1059</v>
      </c>
      <c r="C4" s="977" t="s">
        <v>1060</v>
      </c>
      <c r="D4" s="526"/>
      <c r="E4" s="526"/>
    </row>
    <row r="5" spans="1:8" ht="13.5" customHeight="1" thickBot="1">
      <c r="A5" s="1306" t="s">
        <v>694</v>
      </c>
      <c r="B5" s="1307">
        <v>604193862191.69995</v>
      </c>
      <c r="C5" s="1308">
        <f>+Tabla4112[[#This Row],[Inversión ]]/$B$13</f>
        <v>0.4864189609023078</v>
      </c>
      <c r="D5" s="1250"/>
      <c r="E5" s="1250"/>
    </row>
    <row r="6" spans="1:8" ht="13.5" customHeight="1" thickTop="1" thickBot="1">
      <c r="A6" s="1306" t="s">
        <v>1061</v>
      </c>
      <c r="B6" s="1307">
        <v>243583964496.66</v>
      </c>
      <c r="C6" s="1308">
        <f>+Tabla4112[[#This Row],[Inversión ]]/$B$13</f>
        <v>0.19610238752365408</v>
      </c>
      <c r="D6" s="1250"/>
      <c r="E6" s="1250"/>
      <c r="G6" s="1312" t="s">
        <v>694</v>
      </c>
      <c r="H6" s="1313">
        <v>604193862191.69995</v>
      </c>
    </row>
    <row r="7" spans="1:8" ht="13.5" customHeight="1" thickTop="1" thickBot="1">
      <c r="A7" s="1306" t="s">
        <v>1062</v>
      </c>
      <c r="B7" s="1307">
        <v>91024126361.479996</v>
      </c>
      <c r="C7" s="1308">
        <f>+Tabla4112[[#This Row],[Inversión ]]/$B$13</f>
        <v>7.3280885047692729E-2</v>
      </c>
      <c r="D7" s="1250"/>
      <c r="E7" s="1250"/>
      <c r="G7" s="1312" t="s">
        <v>1061</v>
      </c>
      <c r="H7" s="1313">
        <v>243583964496.66</v>
      </c>
    </row>
    <row r="8" spans="1:8" ht="13.5" customHeight="1" thickTop="1" thickBot="1">
      <c r="A8" s="1306" t="s">
        <v>1063</v>
      </c>
      <c r="B8" s="1307">
        <v>22794191710.690002</v>
      </c>
      <c r="C8" s="1308">
        <f>+Tabla4112[[#This Row],[Inversión ]]/$B$13</f>
        <v>1.8350942868406623E-2</v>
      </c>
      <c r="D8" s="1250"/>
      <c r="E8" s="1250"/>
      <c r="G8" s="1312" t="s">
        <v>1062</v>
      </c>
      <c r="H8" s="1708">
        <v>91024126361.479996</v>
      </c>
    </row>
    <row r="9" spans="1:8" ht="13.5" customHeight="1" thickTop="1" thickBot="1">
      <c r="A9" s="1306" t="s">
        <v>1064</v>
      </c>
      <c r="B9" s="1307">
        <v>578528909</v>
      </c>
      <c r="C9" s="1308">
        <f>+Tabla4112[[#This Row],[Inversión ]]/$B$13</f>
        <v>4.6575685119826693E-4</v>
      </c>
      <c r="D9" s="1250"/>
      <c r="E9" s="1250"/>
      <c r="G9" s="1312" t="s">
        <v>1063</v>
      </c>
      <c r="H9" s="1708">
        <v>22794191710.690002</v>
      </c>
    </row>
    <row r="10" spans="1:8" ht="13.5" customHeight="1" thickTop="1" thickBot="1">
      <c r="A10" s="1306" t="s">
        <v>372</v>
      </c>
      <c r="B10" s="1307">
        <v>28366297022.850002</v>
      </c>
      <c r="C10" s="1308">
        <f>+Tabla4112[[#This Row],[Inversión ]]/$B$13</f>
        <v>2.2836883301742474E-2</v>
      </c>
      <c r="D10" s="1250"/>
      <c r="E10" s="1250"/>
      <c r="G10" s="1312" t="s">
        <v>1064</v>
      </c>
      <c r="H10" s="1313">
        <v>578528909</v>
      </c>
    </row>
    <row r="11" spans="1:8" ht="13.5" customHeight="1" thickTop="1" thickBot="1">
      <c r="A11" s="1306" t="s">
        <v>1065</v>
      </c>
      <c r="B11" s="1307">
        <v>56667099670.329994</v>
      </c>
      <c r="C11" s="1308">
        <f>+Tabla4112[[#This Row],[Inversión ]]/$B$13</f>
        <v>4.5621038980769843E-2</v>
      </c>
      <c r="D11" s="1250"/>
      <c r="E11" s="1250"/>
      <c r="G11" s="1312" t="s">
        <v>372</v>
      </c>
      <c r="H11" s="1313">
        <v>28366297022.850002</v>
      </c>
    </row>
    <row r="12" spans="1:8" ht="13.5" customHeight="1" thickTop="1" thickBot="1">
      <c r="A12" s="1309" t="s">
        <v>1066</v>
      </c>
      <c r="B12" s="1307">
        <v>194918390067.44998</v>
      </c>
      <c r="C12" s="1308">
        <f>+Tabla4112[[#This Row],[Inversión ]]/$B$13</f>
        <v>0.15692314452422818</v>
      </c>
      <c r="D12" s="1250"/>
      <c r="E12" s="1250"/>
      <c r="G12" s="1312" t="s">
        <v>1065</v>
      </c>
      <c r="H12" s="1313">
        <v>56667099670.329994</v>
      </c>
    </row>
    <row r="13" spans="1:8" s="127" customFormat="1" ht="13.5" customHeight="1" thickTop="1" thickBot="1">
      <c r="A13" s="1310" t="s">
        <v>809</v>
      </c>
      <c r="B13" s="1311">
        <v>1242126460430.1599</v>
      </c>
      <c r="C13" s="1308">
        <f>+Tabla4112[[#This Row],[Inversión ]]/$B$13</f>
        <v>1</v>
      </c>
      <c r="D13" s="1250"/>
      <c r="E13" s="1250"/>
      <c r="G13" s="1312" t="s">
        <v>1066</v>
      </c>
      <c r="H13" s="1313">
        <v>194918390067.44998</v>
      </c>
    </row>
    <row r="14" spans="1:8" ht="16.5" thickTop="1">
      <c r="A14" s="1607" t="s">
        <v>1067</v>
      </c>
      <c r="B14" s="1608"/>
      <c r="C14" s="1310"/>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6">
    <tabColor theme="8" tint="-0.249977111117893"/>
    <pageSetUpPr fitToPage="1"/>
  </sheetPr>
  <dimension ref="A1:M52"/>
  <sheetViews>
    <sheetView showGridLines="0" view="pageBreakPreview" zoomScale="55" zoomScaleNormal="100" zoomScaleSheetLayoutView="55" workbookViewId="0">
      <selection activeCell="B41" sqref="B41"/>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9"/>
    <col min="10" max="10" width="22" style="139" customWidth="1"/>
    <col min="11" max="11" width="25.42578125" style="139" customWidth="1"/>
    <col min="12" max="12" width="18.7109375" style="139" customWidth="1"/>
    <col min="13" max="13" width="11.42578125" style="139"/>
    <col min="14" max="16384" width="11.42578125" style="23"/>
  </cols>
  <sheetData>
    <row r="1" spans="1:13" s="552" customFormat="1" ht="81.75" customHeight="1">
      <c r="A1" s="2297" t="s">
        <v>1068</v>
      </c>
      <c r="B1" s="2297"/>
      <c r="C1" s="2297"/>
      <c r="D1" s="2297"/>
      <c r="E1" s="2297"/>
      <c r="F1" s="2297"/>
      <c r="G1" s="2297"/>
      <c r="H1" s="2297"/>
      <c r="I1" s="2297"/>
      <c r="J1" s="2297"/>
      <c r="K1" s="2297"/>
      <c r="L1" s="2297"/>
      <c r="M1" s="551"/>
    </row>
    <row r="2" spans="1:13" s="552" customFormat="1" ht="32.25" customHeight="1">
      <c r="A2" s="2185" t="s">
        <v>777</v>
      </c>
      <c r="B2" s="2185"/>
      <c r="C2" s="2185"/>
      <c r="D2" s="2185"/>
      <c r="E2" s="2185"/>
      <c r="F2" s="2185"/>
      <c r="G2" s="2185"/>
      <c r="H2" s="2185"/>
      <c r="I2" s="2185"/>
      <c r="J2" s="2185"/>
      <c r="K2" s="2185"/>
      <c r="L2" s="2185"/>
      <c r="M2" s="551"/>
    </row>
    <row r="3" spans="1:13" ht="34.5" customHeight="1">
      <c r="A3" s="2314" t="s">
        <v>1069</v>
      </c>
      <c r="B3" s="2314"/>
      <c r="C3" s="2314"/>
      <c r="D3" s="2314"/>
      <c r="E3" s="2314"/>
      <c r="F3" s="2314"/>
      <c r="G3" s="2314"/>
      <c r="H3" s="2314"/>
      <c r="I3" s="2314"/>
      <c r="J3" s="2314"/>
      <c r="K3" s="2314"/>
      <c r="L3" s="2314"/>
    </row>
    <row r="4" spans="1:13" ht="42.75" customHeight="1">
      <c r="A4" s="2313" t="s">
        <v>1070</v>
      </c>
      <c r="B4" s="2313"/>
      <c r="C4" s="2313"/>
      <c r="D4" s="536"/>
    </row>
    <row r="5" spans="1:13" ht="30" customHeight="1">
      <c r="A5" s="931" t="s">
        <v>262</v>
      </c>
      <c r="B5" s="932" t="s">
        <v>1071</v>
      </c>
      <c r="C5" s="933" t="s">
        <v>1072</v>
      </c>
      <c r="D5" s="537"/>
      <c r="G5" s="69"/>
      <c r="H5" s="69"/>
      <c r="I5" s="140"/>
      <c r="J5" s="141"/>
      <c r="K5" s="141"/>
      <c r="L5" s="142"/>
    </row>
    <row r="6" spans="1:13" ht="26.25" hidden="1">
      <c r="A6" s="689">
        <v>37956</v>
      </c>
      <c r="B6" s="688">
        <v>0.24099999999999999</v>
      </c>
      <c r="C6" s="690">
        <v>0.23569999999999999</v>
      </c>
      <c r="D6" s="537"/>
      <c r="G6" s="69"/>
      <c r="H6" s="69"/>
      <c r="I6" s="140"/>
      <c r="J6" s="141"/>
      <c r="K6" s="141"/>
      <c r="L6" s="142"/>
    </row>
    <row r="7" spans="1:13" ht="26.25" hidden="1">
      <c r="A7" s="689">
        <v>38139</v>
      </c>
      <c r="B7" s="688">
        <v>0.25175884853706698</v>
      </c>
      <c r="C7" s="690">
        <v>0.24867163477509091</v>
      </c>
      <c r="D7" s="537"/>
      <c r="G7" s="69"/>
      <c r="H7" s="69"/>
      <c r="I7" s="140"/>
      <c r="L7" s="142"/>
    </row>
    <row r="8" spans="1:13" ht="26.25" hidden="1">
      <c r="A8" s="689">
        <v>38322</v>
      </c>
      <c r="B8" s="688">
        <v>0.22987130488506399</v>
      </c>
      <c r="C8" s="690">
        <v>0.238433752130429</v>
      </c>
      <c r="D8" s="537"/>
      <c r="G8" s="69"/>
      <c r="H8" s="69"/>
      <c r="I8" s="140"/>
      <c r="L8" s="142"/>
    </row>
    <row r="9" spans="1:13" ht="26.25" hidden="1">
      <c r="A9" s="689">
        <v>38504</v>
      </c>
      <c r="B9" s="688">
        <v>0.1992410770624177</v>
      </c>
      <c r="C9" s="690">
        <v>0.20409561690347056</v>
      </c>
      <c r="D9" s="537"/>
      <c r="G9" s="69"/>
      <c r="H9" s="69"/>
      <c r="I9" s="140"/>
      <c r="L9" s="142"/>
    </row>
    <row r="10" spans="1:13" ht="26.25" hidden="1">
      <c r="A10" s="689">
        <v>38687</v>
      </c>
      <c r="B10" s="688">
        <v>0.17089695553831788</v>
      </c>
      <c r="C10" s="690">
        <v>0.16964146990989265</v>
      </c>
      <c r="D10" s="537"/>
      <c r="G10" s="69"/>
      <c r="H10" s="69"/>
      <c r="I10" s="140"/>
      <c r="L10" s="142"/>
    </row>
    <row r="11" spans="1:13" ht="26.25" hidden="1">
      <c r="A11" s="689">
        <v>38869</v>
      </c>
      <c r="B11" s="688">
        <v>0.13300480636525761</v>
      </c>
      <c r="C11" s="690">
        <v>0.13468173812691406</v>
      </c>
      <c r="D11" s="537"/>
      <c r="G11" s="69"/>
      <c r="H11" s="69"/>
      <c r="I11" s="140"/>
      <c r="L11" s="142"/>
    </row>
    <row r="12" spans="1:13" ht="26.25" hidden="1">
      <c r="A12" s="689">
        <v>39052</v>
      </c>
      <c r="B12" s="688">
        <v>0.11468843642102869</v>
      </c>
      <c r="C12" s="690">
        <v>0.11484584318471436</v>
      </c>
      <c r="D12" s="537"/>
      <c r="G12" s="69"/>
      <c r="H12" s="69"/>
      <c r="I12" s="140"/>
      <c r="L12" s="142"/>
    </row>
    <row r="13" spans="1:13" ht="26.25" hidden="1">
      <c r="A13" s="689">
        <v>39234</v>
      </c>
      <c r="B13" s="688">
        <v>9.4391360756030912E-2</v>
      </c>
      <c r="C13" s="690">
        <v>9.4204840251650449E-2</v>
      </c>
      <c r="D13" s="537"/>
      <c r="G13" s="69"/>
      <c r="H13" s="69"/>
      <c r="I13" s="140"/>
      <c r="L13" s="142"/>
    </row>
    <row r="14" spans="1:13" ht="26.25" hidden="1">
      <c r="A14" s="689">
        <v>39417</v>
      </c>
      <c r="B14" s="688">
        <v>8.4768885030462301E-2</v>
      </c>
      <c r="C14" s="690">
        <v>8.4401489702688598E-2</v>
      </c>
      <c r="D14" s="537"/>
      <c r="G14" s="69"/>
      <c r="H14" s="69"/>
      <c r="I14" s="140"/>
      <c r="L14" s="142"/>
    </row>
    <row r="15" spans="1:13" ht="26.25" hidden="1">
      <c r="A15" s="689">
        <v>39600</v>
      </c>
      <c r="B15" s="688">
        <v>8.6699999999999999E-2</v>
      </c>
      <c r="C15" s="690">
        <v>9.06E-2</v>
      </c>
      <c r="D15" s="537"/>
      <c r="L15" s="142"/>
    </row>
    <row r="16" spans="1:13" ht="26.25" hidden="1">
      <c r="A16" s="689">
        <v>39783</v>
      </c>
      <c r="B16" s="688">
        <v>0.1208</v>
      </c>
      <c r="C16" s="690">
        <v>0.1326</v>
      </c>
      <c r="D16" s="537"/>
      <c r="L16" s="142"/>
    </row>
    <row r="17" spans="1:13" customFormat="1" ht="26.25" hidden="1">
      <c r="A17" s="689">
        <v>39965</v>
      </c>
      <c r="B17" s="688">
        <v>0.15529999999999999</v>
      </c>
      <c r="C17" s="690">
        <v>0.161</v>
      </c>
      <c r="D17" s="538"/>
      <c r="I17" s="50"/>
      <c r="L17" s="143"/>
      <c r="M17" s="50"/>
    </row>
    <row r="18" spans="1:13" ht="26.25" hidden="1">
      <c r="A18" s="689">
        <v>40148</v>
      </c>
      <c r="B18" s="688">
        <v>0.1404</v>
      </c>
      <c r="C18" s="690">
        <v>0.14330000000000001</v>
      </c>
      <c r="D18" s="537"/>
      <c r="L18" s="142"/>
    </row>
    <row r="19" spans="1:13" ht="26.25" hidden="1">
      <c r="A19" s="689">
        <v>40330</v>
      </c>
      <c r="B19" s="688">
        <v>0.11609999999999999</v>
      </c>
      <c r="C19" s="690">
        <v>0.1183</v>
      </c>
      <c r="D19" s="538"/>
      <c r="E19"/>
      <c r="F19"/>
      <c r="G19"/>
      <c r="H19"/>
      <c r="I19" s="50"/>
      <c r="L19" s="143"/>
    </row>
    <row r="20" spans="1:13" ht="26.25">
      <c r="A20" s="689">
        <v>40513</v>
      </c>
      <c r="B20" s="688">
        <v>0.108409960162953</v>
      </c>
      <c r="C20" s="690">
        <v>0.110547250717437</v>
      </c>
      <c r="D20" s="537"/>
      <c r="L20" s="142"/>
    </row>
    <row r="21" spans="1:13" ht="26.25" hidden="1">
      <c r="A21" s="689">
        <v>40695</v>
      </c>
      <c r="B21" s="688">
        <v>0.113957126516463</v>
      </c>
      <c r="C21" s="690">
        <v>0.115288967128472</v>
      </c>
      <c r="D21" s="537"/>
      <c r="L21" s="142"/>
    </row>
    <row r="22" spans="1:13" ht="26.25">
      <c r="A22" s="689">
        <v>40878</v>
      </c>
      <c r="B22" s="688">
        <v>0.124824699343822</v>
      </c>
      <c r="C22" s="690">
        <v>0.12663965470126301</v>
      </c>
      <c r="D22" s="537"/>
      <c r="L22" s="142"/>
    </row>
    <row r="23" spans="1:13" ht="26.25" hidden="1">
      <c r="A23" s="689">
        <v>41061</v>
      </c>
      <c r="B23" s="688">
        <v>0.13097785101096041</v>
      </c>
      <c r="C23" s="690">
        <v>0.13425247806895432</v>
      </c>
      <c r="D23" s="537"/>
      <c r="L23" s="142"/>
    </row>
    <row r="24" spans="1:13" ht="26.25">
      <c r="A24" s="689">
        <v>41244</v>
      </c>
      <c r="B24" s="688">
        <v>0.14269999999999999</v>
      </c>
      <c r="C24" s="690">
        <v>0.1454</v>
      </c>
      <c r="D24" s="537"/>
      <c r="J24" s="142"/>
      <c r="K24" s="142"/>
      <c r="L24" s="142"/>
    </row>
    <row r="25" spans="1:13" ht="26.25" hidden="1">
      <c r="A25" s="689">
        <v>41426</v>
      </c>
      <c r="B25" s="688">
        <v>0.15329999999999999</v>
      </c>
      <c r="C25" s="690">
        <v>0.15759999999999999</v>
      </c>
      <c r="D25" s="537"/>
      <c r="J25" s="142"/>
      <c r="K25" s="142"/>
      <c r="L25" s="142"/>
    </row>
    <row r="26" spans="1:13" ht="26.25">
      <c r="A26" s="689">
        <v>41609</v>
      </c>
      <c r="B26" s="688">
        <v>0.132289709655253</v>
      </c>
      <c r="C26" s="690">
        <v>0.133732017269869</v>
      </c>
      <c r="D26" s="537"/>
      <c r="J26" s="142"/>
      <c r="K26" s="142"/>
      <c r="L26" s="142"/>
    </row>
    <row r="27" spans="1:13" ht="26.25" hidden="1">
      <c r="A27" s="689">
        <v>41791</v>
      </c>
      <c r="B27" s="688">
        <v>0.116663916655663</v>
      </c>
      <c r="C27" s="690">
        <v>0.117645839774349</v>
      </c>
      <c r="D27" s="537"/>
      <c r="J27" s="142"/>
      <c r="K27" s="142"/>
      <c r="L27" s="142"/>
    </row>
    <row r="28" spans="1:13" ht="26.25">
      <c r="A28" s="689">
        <v>41974</v>
      </c>
      <c r="B28" s="688">
        <v>0.12024802064232901</v>
      </c>
      <c r="C28" s="690">
        <v>0.124785116569871</v>
      </c>
      <c r="D28" s="537"/>
      <c r="J28" s="142"/>
      <c r="K28" s="142"/>
      <c r="L28" s="142"/>
    </row>
    <row r="29" spans="1:13" ht="26.25" hidden="1">
      <c r="A29" s="689">
        <v>42156</v>
      </c>
      <c r="B29" s="688">
        <v>0.119904812700729</v>
      </c>
      <c r="C29" s="690">
        <v>0.12382087974788</v>
      </c>
      <c r="D29" s="537"/>
      <c r="J29" s="142"/>
      <c r="K29" s="142"/>
      <c r="L29" s="142"/>
    </row>
    <row r="30" spans="1:13" ht="26.25">
      <c r="A30" s="689">
        <v>42339</v>
      </c>
      <c r="B30" s="688">
        <v>0.10699132529452618</v>
      </c>
      <c r="C30" s="690">
        <v>0.11080081164274938</v>
      </c>
      <c r="D30" s="537"/>
    </row>
    <row r="31" spans="1:13" ht="26.25" hidden="1">
      <c r="A31" s="689">
        <v>42522</v>
      </c>
      <c r="B31" s="688">
        <v>9.4724611591017208E-2</v>
      </c>
      <c r="C31" s="690">
        <v>9.923979479437206E-2</v>
      </c>
      <c r="D31" s="537"/>
    </row>
    <row r="32" spans="1:13" ht="26.25">
      <c r="A32" s="689">
        <v>42705</v>
      </c>
      <c r="B32" s="688">
        <v>9.8297349429762718E-2</v>
      </c>
      <c r="C32" s="690">
        <v>0.10235589284546419</v>
      </c>
      <c r="D32" s="537"/>
    </row>
    <row r="33" spans="1:4" ht="26.25">
      <c r="A33" s="689">
        <v>43070</v>
      </c>
      <c r="B33" s="688">
        <v>0.1082</v>
      </c>
      <c r="C33" s="690">
        <v>0.11070000000000001</v>
      </c>
      <c r="D33" s="537"/>
    </row>
    <row r="34" spans="1:4" ht="26.25">
      <c r="A34" s="691">
        <v>43435</v>
      </c>
      <c r="B34" s="692">
        <v>7.7600000000000002E-2</v>
      </c>
      <c r="C34" s="693">
        <v>8.2600000000000007E-2</v>
      </c>
      <c r="D34" s="537"/>
    </row>
    <row r="35" spans="1:4" ht="26.25">
      <c r="A35" s="691">
        <v>43800</v>
      </c>
      <c r="B35" s="692">
        <v>0.10809646211624585</v>
      </c>
      <c r="C35" s="693">
        <v>0.10823910973861361</v>
      </c>
      <c r="D35" s="537"/>
    </row>
    <row r="36" spans="1:4" ht="26.25">
      <c r="A36" s="691">
        <v>44166</v>
      </c>
      <c r="B36" s="692">
        <v>0.1028</v>
      </c>
      <c r="C36" s="693">
        <v>0.1021</v>
      </c>
      <c r="D36" s="537"/>
    </row>
    <row r="37" spans="1:4" ht="26.25">
      <c r="A37" s="691">
        <v>44531</v>
      </c>
      <c r="B37" s="692">
        <v>0.1215</v>
      </c>
      <c r="C37" s="693">
        <v>0.12</v>
      </c>
      <c r="D37" s="537"/>
    </row>
    <row r="38" spans="1:4" ht="26.25">
      <c r="A38" s="691">
        <v>44896</v>
      </c>
      <c r="B38" s="692">
        <v>5.5199999999999999E-2</v>
      </c>
      <c r="C38" s="693">
        <v>6.0999999999999999E-2</v>
      </c>
      <c r="D38" s="539"/>
    </row>
    <row r="39" spans="1:4" ht="26.25">
      <c r="A39" s="691">
        <v>45261</v>
      </c>
      <c r="B39" s="692">
        <v>8.7400000000000005E-2</v>
      </c>
      <c r="C39" s="693">
        <v>8.8999999999999996E-2</v>
      </c>
    </row>
    <row r="40" spans="1:4" ht="26.25">
      <c r="A40" s="691">
        <v>45627</v>
      </c>
      <c r="B40" s="692">
        <v>9.9900000000000003E-2</v>
      </c>
      <c r="C40" s="693">
        <v>0.1</v>
      </c>
    </row>
    <row r="41" spans="1:4" ht="26.25">
      <c r="A41" s="691">
        <v>45748</v>
      </c>
      <c r="B41" s="692">
        <f>+'Resumen '!B49</f>
        <v>9.4E-2</v>
      </c>
      <c r="C41" s="693">
        <f>+'Resumen '!B50</f>
        <v>9.6000000000000002E-2</v>
      </c>
    </row>
    <row r="50" ht="39.75" customHeight="1"/>
    <row r="51" ht="39.75" customHeight="1"/>
    <row r="52" ht="39.75" customHeight="1"/>
  </sheetData>
  <mergeCells count="4">
    <mergeCell ref="A1:L1"/>
    <mergeCell ref="A4:C4"/>
    <mergeCell ref="A3:L3"/>
    <mergeCell ref="A2:L2"/>
  </mergeCells>
  <conditionalFormatting sqref="B41:C41">
    <cfRule type="cellIs" dxfId="221" priority="1" operator="equal">
      <formula>0</formula>
    </cfRule>
  </conditionalFormatting>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97">
    <tabColor theme="8" tint="-0.249977111117893"/>
    <pageSetUpPr fitToPage="1"/>
  </sheetPr>
  <dimension ref="A1:P40"/>
  <sheetViews>
    <sheetView showGridLines="0" view="pageBreakPreview" topLeftCell="A2" zoomScale="70" zoomScaleNormal="100" zoomScaleSheetLayoutView="70" workbookViewId="0">
      <selection activeCell="A24" sqref="A24"/>
    </sheetView>
  </sheetViews>
  <sheetFormatPr defaultColWidth="11.42578125" defaultRowHeight="15"/>
  <cols>
    <col min="1" max="1" width="23.7109375" style="57" customWidth="1"/>
    <col min="2" max="2" width="26.5703125" style="57" customWidth="1"/>
    <col min="3" max="3" width="22.28515625" style="57" customWidth="1"/>
    <col min="4" max="4" width="22.42578125" style="57" customWidth="1"/>
    <col min="5" max="5" width="14.28515625" style="57" customWidth="1"/>
    <col min="6" max="11" width="13.5703125" style="57" customWidth="1"/>
    <col min="12" max="12" width="26.85546875" style="57" customWidth="1"/>
    <col min="13" max="13" width="22.7109375" style="57" customWidth="1"/>
    <col min="14" max="14" width="0.28515625" style="57" customWidth="1"/>
    <col min="15" max="15" width="11.42578125" style="57"/>
    <col min="16" max="16" width="12.7109375" style="57" customWidth="1"/>
    <col min="17" max="18" width="15.28515625" style="57" customWidth="1"/>
    <col min="19" max="19" width="15.85546875" style="57" customWidth="1"/>
    <col min="20" max="16384" width="11.42578125" style="57"/>
  </cols>
  <sheetData>
    <row r="1" spans="1:14" s="550" customFormat="1" ht="72.75" customHeight="1">
      <c r="A1" s="2315" t="s">
        <v>1073</v>
      </c>
      <c r="B1" s="2315"/>
      <c r="C1" s="2315"/>
      <c r="D1" s="2315"/>
      <c r="E1" s="2315"/>
      <c r="F1" s="2315"/>
      <c r="G1" s="2315"/>
      <c r="H1" s="2315"/>
      <c r="I1" s="2315"/>
      <c r="J1" s="2315"/>
      <c r="K1" s="2315"/>
      <c r="L1" s="2315"/>
      <c r="M1" s="2315"/>
      <c r="N1" s="2315"/>
    </row>
    <row r="2" spans="1:14" s="550" customFormat="1" ht="40.5" customHeight="1">
      <c r="A2" s="2320" t="str">
        <f>+'Resumen '!O4</f>
        <v>Período:  Diciembre 2008 - Abril 2025</v>
      </c>
      <c r="B2" s="2320"/>
      <c r="C2" s="2320"/>
      <c r="D2" s="2320"/>
      <c r="E2" s="2320"/>
      <c r="F2" s="2320"/>
      <c r="G2" s="2320"/>
      <c r="H2" s="2320"/>
      <c r="I2" s="2320"/>
      <c r="J2" s="2320"/>
      <c r="K2" s="2320"/>
      <c r="L2" s="2320"/>
      <c r="M2" s="2320"/>
      <c r="N2" s="2320"/>
    </row>
    <row r="3" spans="1:14" ht="9" customHeight="1">
      <c r="A3" s="2316"/>
      <c r="B3" s="2316"/>
      <c r="C3" s="2316"/>
      <c r="D3" s="2316"/>
      <c r="E3" s="2316"/>
      <c r="F3" s="2316"/>
      <c r="G3" s="2316"/>
      <c r="H3" s="2316"/>
      <c r="I3" s="2316"/>
      <c r="J3" s="2316"/>
      <c r="K3" s="2316"/>
      <c r="L3" s="2316"/>
      <c r="M3" s="2316"/>
    </row>
    <row r="4" spans="1:14" ht="30" customHeight="1">
      <c r="A4" s="2317" t="s">
        <v>1074</v>
      </c>
      <c r="B4" s="2318"/>
      <c r="C4" s="2318"/>
      <c r="D4" s="2319"/>
    </row>
    <row r="5" spans="1:14" ht="57" customHeight="1">
      <c r="A5" s="1709" t="s">
        <v>262</v>
      </c>
      <c r="B5" s="1710" t="s">
        <v>1075</v>
      </c>
      <c r="C5" s="1710" t="s">
        <v>1076</v>
      </c>
      <c r="D5" s="1710" t="s">
        <v>1077</v>
      </c>
      <c r="G5" s="86"/>
      <c r="I5" s="86"/>
      <c r="J5" s="86"/>
    </row>
    <row r="6" spans="1:14" ht="18.75">
      <c r="A6" s="1118">
        <v>39783</v>
      </c>
      <c r="B6" s="1119">
        <v>0.1326</v>
      </c>
      <c r="C6" s="1119">
        <v>4.517248281844255E-2</v>
      </c>
      <c r="D6" s="1120">
        <f t="shared" ref="D6:D20" si="0">B6-C6</f>
        <v>8.7427517181557446E-2</v>
      </c>
      <c r="G6" s="86"/>
      <c r="I6" s="86"/>
      <c r="J6" s="86"/>
    </row>
    <row r="7" spans="1:14" ht="18.75">
      <c r="A7" s="1118">
        <v>40148</v>
      </c>
      <c r="B7" s="1119">
        <v>0.14330000000000001</v>
      </c>
      <c r="C7" s="1119">
        <v>5.7648110316649515E-2</v>
      </c>
      <c r="D7" s="1120">
        <f t="shared" si="0"/>
        <v>8.5651889683350496E-2</v>
      </c>
      <c r="G7" s="86"/>
      <c r="I7" s="86"/>
      <c r="J7" s="86"/>
    </row>
    <row r="8" spans="1:14" s="58" customFormat="1" ht="18.75">
      <c r="A8" s="1118">
        <v>40513</v>
      </c>
      <c r="B8" s="1119">
        <v>0.110547250717437</v>
      </c>
      <c r="C8" s="1119">
        <v>6.2383050642844218E-2</v>
      </c>
      <c r="D8" s="1120">
        <f t="shared" si="0"/>
        <v>4.8164200074592781E-2</v>
      </c>
      <c r="G8" s="86"/>
      <c r="I8" s="86"/>
      <c r="J8" s="86"/>
    </row>
    <row r="9" spans="1:14" ht="18.75">
      <c r="A9" s="1118">
        <v>40878</v>
      </c>
      <c r="B9" s="1119">
        <v>0.12663965470126301</v>
      </c>
      <c r="C9" s="1119">
        <v>7.7600000000000002E-2</v>
      </c>
      <c r="D9" s="1120">
        <f t="shared" si="0"/>
        <v>4.9039654701263008E-2</v>
      </c>
      <c r="E9" s="58"/>
      <c r="F9" s="58"/>
      <c r="G9" s="86"/>
      <c r="H9" s="58"/>
      <c r="I9" s="86"/>
      <c r="J9" s="86"/>
      <c r="K9" s="58"/>
      <c r="L9" s="58"/>
      <c r="M9" s="58"/>
    </row>
    <row r="10" spans="1:14" ht="18.75">
      <c r="A10" s="1118">
        <v>41244</v>
      </c>
      <c r="B10" s="1119">
        <v>0.1454</v>
      </c>
      <c r="C10" s="1119">
        <v>3.9100000000000003E-2</v>
      </c>
      <c r="D10" s="1120">
        <f t="shared" si="0"/>
        <v>0.10630000000000001</v>
      </c>
      <c r="G10" s="86"/>
      <c r="I10" s="86"/>
      <c r="J10" s="86"/>
    </row>
    <row r="11" spans="1:14" ht="18.75">
      <c r="A11" s="1118">
        <v>41609</v>
      </c>
      <c r="B11" s="1119">
        <v>0.133732017269869</v>
      </c>
      <c r="C11" s="1119">
        <v>3.8800000000000001E-2</v>
      </c>
      <c r="D11" s="1120">
        <f t="shared" si="0"/>
        <v>9.4932017269868996E-2</v>
      </c>
      <c r="G11" s="86"/>
      <c r="I11" s="86"/>
      <c r="J11" s="86"/>
    </row>
    <row r="12" spans="1:14" ht="18.75">
      <c r="A12" s="1118">
        <v>41974</v>
      </c>
      <c r="B12" s="1119">
        <v>0.124785116569871</v>
      </c>
      <c r="C12" s="1119">
        <v>1.5800000000000002E-2</v>
      </c>
      <c r="D12" s="1120">
        <f t="shared" si="0"/>
        <v>0.108985116569871</v>
      </c>
      <c r="G12" s="86"/>
      <c r="I12" s="86"/>
      <c r="J12" s="86"/>
    </row>
    <row r="13" spans="1:14" ht="18">
      <c r="A13" s="1118">
        <v>42339</v>
      </c>
      <c r="B13" s="1119">
        <v>0.1108</v>
      </c>
      <c r="C13" s="1119">
        <v>2.3400000000000001E-2</v>
      </c>
      <c r="D13" s="1120">
        <f t="shared" si="0"/>
        <v>8.7399999999999992E-2</v>
      </c>
    </row>
    <row r="14" spans="1:14" ht="18">
      <c r="A14" s="1118">
        <v>42705</v>
      </c>
      <c r="B14" s="1119">
        <v>0.1024</v>
      </c>
      <c r="C14" s="1119">
        <v>1.7000000000000001E-2</v>
      </c>
      <c r="D14" s="1120">
        <f t="shared" si="0"/>
        <v>8.5400000000000004E-2</v>
      </c>
    </row>
    <row r="15" spans="1:14" ht="18">
      <c r="A15" s="1118">
        <v>43086</v>
      </c>
      <c r="B15" s="1119">
        <v>0.1082</v>
      </c>
      <c r="C15" s="1119">
        <v>4.2000000000000003E-2</v>
      </c>
      <c r="D15" s="1120">
        <f t="shared" si="0"/>
        <v>6.6200000000000009E-2</v>
      </c>
    </row>
    <row r="16" spans="1:14" ht="18">
      <c r="A16" s="1118">
        <v>43451</v>
      </c>
      <c r="B16" s="1119">
        <v>8.7800000000000003E-2</v>
      </c>
      <c r="C16" s="1119">
        <v>2.3699999999999999E-2</v>
      </c>
      <c r="D16" s="1120">
        <f t="shared" si="0"/>
        <v>6.4100000000000004E-2</v>
      </c>
    </row>
    <row r="17" spans="1:16" ht="18">
      <c r="A17" s="1118">
        <v>43800</v>
      </c>
      <c r="B17" s="1119">
        <v>0.10809646211624585</v>
      </c>
      <c r="C17" s="1119">
        <v>3.6600000000000001E-2</v>
      </c>
      <c r="D17" s="1120">
        <f t="shared" si="0"/>
        <v>7.1496462116245857E-2</v>
      </c>
    </row>
    <row r="18" spans="1:16" ht="18">
      <c r="A18" s="1118">
        <v>44166</v>
      </c>
      <c r="B18" s="1119">
        <v>0.1028</v>
      </c>
      <c r="C18" s="1119">
        <v>5.5500000000000001E-2</v>
      </c>
      <c r="D18" s="1120">
        <f t="shared" si="0"/>
        <v>4.7300000000000002E-2</v>
      </c>
    </row>
    <row r="19" spans="1:16" ht="18">
      <c r="A19" s="1118">
        <v>44531</v>
      </c>
      <c r="B19" s="1119">
        <v>0.1215</v>
      </c>
      <c r="C19" s="1119">
        <v>8.5000000000000006E-2</v>
      </c>
      <c r="D19" s="1120">
        <f t="shared" si="0"/>
        <v>3.6499999999999991E-2</v>
      </c>
    </row>
    <row r="20" spans="1:16" ht="18">
      <c r="A20" s="1118">
        <v>44896</v>
      </c>
      <c r="B20" s="1119">
        <v>5.5199999999999999E-2</v>
      </c>
      <c r="C20" s="1119">
        <v>7.8299999999999995E-2</v>
      </c>
      <c r="D20" s="1120">
        <f t="shared" si="0"/>
        <v>-2.3099999999999996E-2</v>
      </c>
    </row>
    <row r="21" spans="1:16" ht="18">
      <c r="A21" s="1118">
        <v>45261</v>
      </c>
      <c r="B21" s="1119">
        <v>8.8999999999999996E-2</v>
      </c>
      <c r="C21" s="1119">
        <v>3.5700000000000003E-2</v>
      </c>
      <c r="D21" s="1120">
        <v>5.3299999999999993E-2</v>
      </c>
    </row>
    <row r="22" spans="1:16" ht="18">
      <c r="A22" s="1785">
        <v>45627</v>
      </c>
      <c r="B22" s="1786">
        <v>0.1</v>
      </c>
      <c r="C22" s="1786">
        <v>3.3500000000000002E-2</v>
      </c>
      <c r="D22" s="1787">
        <v>6.6500000000000004E-2</v>
      </c>
    </row>
    <row r="23" spans="1:16" ht="18">
      <c r="A23" s="1785">
        <v>45748</v>
      </c>
      <c r="B23" s="1786">
        <f>+'IV.3.7. Rent. nom. de los FP'!C41</f>
        <v>9.6000000000000002E-2</v>
      </c>
      <c r="C23" s="1786">
        <f>+'Resumen '!B51</f>
        <v>3.7100000000000001E-2</v>
      </c>
      <c r="D23" s="1787">
        <f>B23-C23</f>
        <v>5.8900000000000001E-2</v>
      </c>
    </row>
    <row r="29" spans="1:16">
      <c r="P29" s="66"/>
    </row>
    <row r="30" spans="1:16">
      <c r="P30" s="66"/>
    </row>
    <row r="31" spans="1:16">
      <c r="P31" s="66"/>
    </row>
    <row r="32" spans="1:16">
      <c r="P32" s="66"/>
    </row>
    <row r="33" spans="16:16">
      <c r="P33" s="66"/>
    </row>
    <row r="34" spans="16:16">
      <c r="P34" s="66"/>
    </row>
    <row r="35" spans="16:16">
      <c r="P35" s="67"/>
    </row>
    <row r="36" spans="16:16">
      <c r="P36" s="67"/>
    </row>
    <row r="37" spans="16:16">
      <c r="P37" s="67"/>
    </row>
    <row r="38" spans="16:16">
      <c r="P38" s="67"/>
    </row>
    <row r="39" spans="16:16">
      <c r="P39" s="68"/>
    </row>
    <row r="40" spans="16:16">
      <c r="P40" s="68"/>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8" tint="-0.249977111117893"/>
    <pageSetUpPr fitToPage="1"/>
  </sheetPr>
  <dimension ref="A1:H13"/>
  <sheetViews>
    <sheetView showGridLines="0" view="pageBreakPreview" zoomScale="70" zoomScaleNormal="85" zoomScaleSheetLayoutView="70" workbookViewId="0">
      <selection activeCell="B9" sqref="B9"/>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1041" bestFit="1" customWidth="1"/>
    <col min="7" max="16384" width="11.42578125" style="18"/>
  </cols>
  <sheetData>
    <row r="1" spans="1:8" ht="68.25" customHeight="1">
      <c r="A1" s="2074" t="s">
        <v>1078</v>
      </c>
      <c r="B1" s="2074"/>
      <c r="C1" s="2074"/>
      <c r="D1" s="2074"/>
    </row>
    <row r="2" spans="1:8" ht="28.5" customHeight="1">
      <c r="A2" s="2321" t="str">
        <f>+'Resumen '!O3</f>
        <v>Período: Abril 2025</v>
      </c>
      <c r="B2" s="2321"/>
      <c r="C2" s="2321"/>
      <c r="D2" s="2321"/>
    </row>
    <row r="3" spans="1:8" ht="16.5" customHeight="1">
      <c r="A3" s="2073"/>
      <c r="B3" s="2073"/>
      <c r="C3" s="2073"/>
      <c r="D3" s="2073"/>
    </row>
    <row r="4" spans="1:8" s="62" customFormat="1" ht="36.75" customHeight="1">
      <c r="A4" s="712" t="s">
        <v>1032</v>
      </c>
      <c r="B4" s="713" t="s">
        <v>235</v>
      </c>
      <c r="C4" s="1391" t="s">
        <v>266</v>
      </c>
      <c r="D4" s="60"/>
      <c r="E4" s="60"/>
      <c r="F4" s="60"/>
      <c r="G4" s="60"/>
      <c r="H4" s="60"/>
    </row>
    <row r="5" spans="1:8" ht="19.5" customHeight="1">
      <c r="A5" s="715" t="str">
        <f>+'Resumen '!A86</f>
        <v>Cuentas de Capitalización Individual</v>
      </c>
      <c r="B5" s="1251">
        <f>+'Resumen '!B86</f>
        <v>1157294490809.5701</v>
      </c>
      <c r="C5" s="1392">
        <f>+Tabla318[[#This Row],[Total]]/$B$10</f>
        <v>0.79513605895947426</v>
      </c>
      <c r="D5" s="31"/>
      <c r="E5" s="31"/>
      <c r="F5" s="31"/>
      <c r="G5" s="31"/>
      <c r="H5" s="31"/>
    </row>
    <row r="6" spans="1:8" ht="19.5" customHeight="1">
      <c r="A6" s="715" t="str">
        <f>+'Resumen '!A90</f>
        <v>INABIMA</v>
      </c>
      <c r="B6" s="1251">
        <f>+'Resumen '!B90</f>
        <v>161208251958.686</v>
      </c>
      <c r="C6" s="1392">
        <f>+Tabla318[[#This Row],[Total]]/$B$10</f>
        <v>0.11076048071783973</v>
      </c>
      <c r="E6" s="53"/>
    </row>
    <row r="7" spans="1:8" ht="19.5" customHeight="1">
      <c r="A7" s="715" t="str">
        <f>+'Resumen '!A87</f>
        <v>Fondo de Solidaridad Social</v>
      </c>
      <c r="B7" s="1251">
        <f>+'Resumen '!B87</f>
        <v>85903129377.960007</v>
      </c>
      <c r="C7" s="1392">
        <f>+Tabla318[[#This Row],[Total]]/$B$10</f>
        <v>5.9020997929485793E-2</v>
      </c>
      <c r="D7" s="54"/>
      <c r="E7" s="53"/>
    </row>
    <row r="8" spans="1:8" ht="19.5" customHeight="1">
      <c r="A8" s="715" t="str">
        <f>+'Resumen '!A88</f>
        <v>Fondos de Reparto Individualizado*</v>
      </c>
      <c r="B8" s="1251">
        <f>+'Resumen '!B88</f>
        <v>50811497187.029999</v>
      </c>
      <c r="C8" s="1392">
        <f>+Tabla318[[#This Row],[Total]]/$B$10</f>
        <v>3.4910780224022948E-2</v>
      </c>
      <c r="D8" s="55"/>
      <c r="E8" s="53"/>
    </row>
    <row r="9" spans="1:8" ht="22.5" customHeight="1">
      <c r="A9" s="1314" t="str">
        <f>+'Resumen '!A89</f>
        <v>Fondos Complementarios</v>
      </c>
      <c r="B9" s="1251">
        <f>+'Resumen '!B89</f>
        <v>249877774.15000001</v>
      </c>
      <c r="C9" s="1392">
        <f>+Tabla318[[#This Row],[Total]]/$B$10</f>
        <v>1.716821691773611E-4</v>
      </c>
      <c r="E9" s="53"/>
    </row>
    <row r="10" spans="1:8" ht="22.5" customHeight="1">
      <c r="A10" s="1315" t="s">
        <v>235</v>
      </c>
      <c r="B10" s="1316">
        <f>SUM(B5:B9)</f>
        <v>1455467247107.396</v>
      </c>
      <c r="C10" s="1393">
        <f>+Tabla318[[#This Row],[Total]]/$B$10</f>
        <v>1</v>
      </c>
      <c r="E10" s="53"/>
    </row>
    <row r="11" spans="1:8" ht="23.25">
      <c r="A11" s="1711" t="s">
        <v>1079</v>
      </c>
      <c r="F11" s="1041">
        <f>+B10-'Resumen '!B59</f>
        <v>-3.90625E-3</v>
      </c>
    </row>
    <row r="12" spans="1:8" ht="23.25">
      <c r="F12" s="1041">
        <f>+B10/1000000</f>
        <v>1455467.2471073959</v>
      </c>
    </row>
    <row r="13" spans="1:8" ht="24" customHeight="1">
      <c r="F13" s="1041">
        <f>+F12-'IV.3.5.Patrim. fp anual'!B22</f>
        <v>-3.9581209421157837E-9</v>
      </c>
    </row>
  </sheetData>
  <mergeCells count="3">
    <mergeCell ref="A1:D1"/>
    <mergeCell ref="A2:D2"/>
    <mergeCell ref="A3:D3"/>
  </mergeCells>
  <conditionalFormatting sqref="A10">
    <cfRule type="cellIs" dxfId="203" priority="4" operator="equal">
      <formula>0</formula>
    </cfRule>
  </conditionalFormatting>
  <conditionalFormatting sqref="A4:B10">
    <cfRule type="cellIs" dxfId="202" priority="8" operator="equal">
      <formula>0</formula>
    </cfRule>
  </conditionalFormatting>
  <conditionalFormatting sqref="B5:B10">
    <cfRule type="cellIs" dxfId="201" priority="9" operator="equal">
      <formula>0</formula>
    </cfRule>
  </conditionalFormatting>
  <conditionalFormatting sqref="C10">
    <cfRule type="cellIs" dxfId="200" priority="2" operator="equal">
      <formula>0</formula>
    </cfRule>
    <cfRule type="cellIs" dxfId="199" priority="3" operator="equal">
      <formula>0</formula>
    </cfRule>
  </conditionalFormatting>
  <conditionalFormatting sqref="A11">
    <cfRule type="cellIs" dxfId="198"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98">
    <tabColor rgb="FF00B0F0"/>
    <pageSetUpPr fitToPage="1"/>
  </sheetPr>
  <dimension ref="A6:L60"/>
  <sheetViews>
    <sheetView showGridLines="0" view="pageBreakPreview" zoomScale="115" zoomScaleNormal="100" zoomScaleSheetLayoutView="115" workbookViewId="0">
      <selection activeCell="J24" sqref="J24"/>
    </sheetView>
  </sheetViews>
  <sheetFormatPr defaultColWidth="11.42578125" defaultRowHeight="15"/>
  <cols>
    <col min="1" max="5" width="11.42578125" style="18"/>
    <col min="6" max="6" width="15" style="18" customWidth="1"/>
    <col min="7" max="7" width="21.85546875" style="18" customWidth="1"/>
    <col min="8" max="8" width="14.42578125" style="416" customWidth="1"/>
    <col min="9" max="9" width="7.28515625" customWidth="1"/>
    <col min="10" max="10" width="19.140625" customWidth="1"/>
  </cols>
  <sheetData>
    <row r="6" spans="1:12" ht="60.75" customHeight="1">
      <c r="A6" s="2142" t="s">
        <v>1080</v>
      </c>
      <c r="B6" s="2142"/>
      <c r="C6" s="2142"/>
      <c r="D6" s="2142"/>
      <c r="E6" s="2142"/>
      <c r="F6" s="2142"/>
      <c r="G6" s="2142"/>
      <c r="H6" s="2142"/>
      <c r="J6" s="8">
        <f>+'IV.4.2.Pagos ARL A'!H25</f>
        <v>83768550298.720001</v>
      </c>
    </row>
    <row r="7" spans="1:12">
      <c r="A7" s="2142"/>
      <c r="B7" s="2142"/>
      <c r="C7" s="2142"/>
      <c r="D7" s="2142"/>
      <c r="E7" s="2142"/>
      <c r="F7" s="2142"/>
      <c r="G7" s="2142"/>
      <c r="H7" s="2142"/>
    </row>
    <row r="8" spans="1:12">
      <c r="A8" s="2142"/>
      <c r="B8" s="2142"/>
      <c r="C8" s="2142"/>
      <c r="D8" s="2142"/>
      <c r="E8" s="2142"/>
      <c r="F8" s="2142"/>
      <c r="G8" s="2142"/>
      <c r="H8" s="2142"/>
    </row>
    <row r="9" spans="1:12">
      <c r="A9" s="2142"/>
      <c r="B9" s="2142"/>
      <c r="C9" s="2142"/>
      <c r="D9" s="2142"/>
      <c r="E9" s="2142"/>
      <c r="F9" s="2142"/>
      <c r="G9" s="2142"/>
      <c r="H9" s="2142"/>
    </row>
    <row r="10" spans="1:12">
      <c r="A10" s="2142"/>
      <c r="B10" s="2142"/>
      <c r="C10" s="2142"/>
      <c r="D10" s="2142"/>
      <c r="E10" s="2142"/>
      <c r="F10" s="2142"/>
      <c r="G10" s="2142"/>
      <c r="H10" s="2142"/>
      <c r="J10" s="41">
        <f>+'IV.4.2.Pagos ARL A'!C25</f>
        <v>0.95528804624822017</v>
      </c>
    </row>
    <row r="11" spans="1:12">
      <c r="A11" s="2142"/>
      <c r="B11" s="2142"/>
      <c r="C11" s="2142"/>
      <c r="D11" s="2142"/>
      <c r="E11" s="2142"/>
      <c r="F11" s="2142"/>
      <c r="G11" s="2142"/>
      <c r="H11" s="2142"/>
      <c r="J11" s="41">
        <f>+'IV.4.2.Pagos ARL A'!E25</f>
        <v>4.15629816324182E-2</v>
      </c>
    </row>
    <row r="12" spans="1:12">
      <c r="A12" s="2142"/>
      <c r="B12" s="2142"/>
      <c r="C12" s="2142"/>
      <c r="D12" s="2142"/>
      <c r="E12" s="2142"/>
      <c r="F12" s="2142"/>
      <c r="G12" s="2142"/>
      <c r="H12" s="2142"/>
      <c r="J12" s="41">
        <f>+'IV.4.2.Pagos ARL A'!G25</f>
        <v>3.1489721193614911E-3</v>
      </c>
    </row>
    <row r="13" spans="1:12">
      <c r="A13" s="2142"/>
      <c r="B13" s="2142"/>
      <c r="C13" s="2142"/>
      <c r="D13" s="2142"/>
      <c r="E13" s="2142"/>
      <c r="F13" s="2142"/>
      <c r="G13" s="2142"/>
      <c r="H13" s="2142"/>
      <c r="J13" s="45"/>
    </row>
    <row r="14" spans="1:12">
      <c r="A14" s="2142"/>
      <c r="B14" s="2142"/>
      <c r="C14" s="2142"/>
      <c r="D14" s="2142"/>
      <c r="E14" s="2142"/>
      <c r="F14" s="2142"/>
      <c r="G14" s="2142"/>
      <c r="H14" s="2142"/>
    </row>
    <row r="15" spans="1:12">
      <c r="A15" s="2142"/>
      <c r="B15" s="2142"/>
      <c r="C15" s="2142"/>
      <c r="D15" s="2142"/>
      <c r="E15" s="2142"/>
      <c r="F15" s="2142"/>
      <c r="G15" s="2142"/>
      <c r="H15" s="2142"/>
      <c r="J15" s="8">
        <f>+'IV.4.2.Pagos ARL A'!B24</f>
        <v>3358327662.4299998</v>
      </c>
      <c r="K15" s="41">
        <f>+J15/$J$18</f>
        <v>0.95753267927874219</v>
      </c>
      <c r="L15" t="str">
        <f>+Tabla42[[#Headers],[ Prestaciones de Beneficios
 (ARL Salud Segura)]]</f>
        <v xml:space="preserve"> Prestaciones de Beneficios
 (ARL Salud Segura)</v>
      </c>
    </row>
    <row r="16" spans="1:12">
      <c r="A16" s="2142"/>
      <c r="B16" s="2142"/>
      <c r="C16" s="2142"/>
      <c r="D16" s="2142"/>
      <c r="E16" s="2142"/>
      <c r="F16" s="2142"/>
      <c r="G16" s="2142"/>
      <c r="H16" s="2142"/>
      <c r="J16" s="8">
        <f>+'IV.4.2.Pagos ARL A'!D24</f>
        <v>146133909.41</v>
      </c>
      <c r="K16" s="41">
        <f>+J16/$J$18</f>
        <v>4.1665974221701159E-2</v>
      </c>
      <c r="L16" t="str">
        <f>+Tabla42[[#Headers],[Comisión SISALRIL]]</f>
        <v>Comisión SISALRIL</v>
      </c>
    </row>
    <row r="17" spans="1:12">
      <c r="A17" s="2142"/>
      <c r="B17" s="2142"/>
      <c r="C17" s="2142"/>
      <c r="D17" s="2142"/>
      <c r="E17" s="2142"/>
      <c r="F17" s="2142"/>
      <c r="G17" s="2142"/>
      <c r="H17" s="2142"/>
      <c r="J17" s="8">
        <f>+'IV.4.2.Pagos ARL A'!F24</f>
        <v>2810540.23</v>
      </c>
      <c r="K17" s="41">
        <f>+J17/$J$18</f>
        <v>8.0134649955666338E-4</v>
      </c>
      <c r="L17" t="str">
        <f>+Tabla42[[#Headers],[Fondos de Solidaridad FSS (SRL)]]</f>
        <v>Fondos de Solidaridad FSS (SRL)</v>
      </c>
    </row>
    <row r="18" spans="1:12">
      <c r="A18" s="2142"/>
      <c r="B18" s="2142"/>
      <c r="C18" s="2142"/>
      <c r="D18" s="2142"/>
      <c r="E18" s="2142"/>
      <c r="F18" s="2142"/>
      <c r="G18" s="2142"/>
      <c r="H18" s="2142"/>
      <c r="J18" s="8">
        <f>SUM(J15:J17)</f>
        <v>3507272112.0699997</v>
      </c>
      <c r="K18" s="41">
        <f>SUM(K15:K17)</f>
        <v>1</v>
      </c>
      <c r="L18" t="str">
        <f>+Tabla42[[#Headers],[Total por Año]]</f>
        <v>Total por Año</v>
      </c>
    </row>
    <row r="19" spans="1:12" ht="54.75" customHeight="1">
      <c r="A19" s="2142"/>
      <c r="B19" s="2142"/>
      <c r="C19" s="2142"/>
      <c r="D19" s="2142"/>
      <c r="E19" s="2142"/>
      <c r="F19" s="2142"/>
      <c r="G19" s="2142"/>
      <c r="H19" s="2142"/>
      <c r="J19" s="8">
        <f>SUM(J18)</f>
        <v>3507272112.0699997</v>
      </c>
      <c r="K19">
        <f>+J19-'IV.4.2.Pagos ARL A'!H24</f>
        <v>0</v>
      </c>
    </row>
    <row r="31" spans="1:12">
      <c r="F31" s="417"/>
      <c r="G31" s="418"/>
      <c r="H31" s="18"/>
    </row>
    <row r="32" spans="1:12">
      <c r="F32" s="417"/>
      <c r="G32" s="418"/>
      <c r="H32" s="18"/>
    </row>
    <row r="33" spans="6:8">
      <c r="F33" s="417"/>
      <c r="G33" s="418"/>
      <c r="H33" s="18"/>
    </row>
    <row r="34" spans="6:8">
      <c r="F34" s="417"/>
      <c r="G34" s="418"/>
      <c r="H34" s="18"/>
    </row>
    <row r="35" spans="6:8">
      <c r="F35" s="417"/>
      <c r="G35" s="418"/>
      <c r="H35" s="18"/>
    </row>
    <row r="36" spans="6:8">
      <c r="F36" s="419"/>
      <c r="G36" s="420"/>
      <c r="H36" s="18"/>
    </row>
    <row r="37" spans="6:8">
      <c r="F37" s="421"/>
      <c r="G37" s="422"/>
      <c r="H37" s="18"/>
    </row>
    <row r="38" spans="6:8">
      <c r="F38" s="421"/>
      <c r="G38" s="422"/>
      <c r="H38" s="18"/>
    </row>
    <row r="39" spans="6:8">
      <c r="F39" s="421"/>
      <c r="G39" s="422"/>
      <c r="H39" s="18"/>
    </row>
    <row r="40" spans="6:8">
      <c r="F40" s="421"/>
      <c r="G40" s="422"/>
      <c r="H40" s="18"/>
    </row>
    <row r="41" spans="6:8">
      <c r="F41" s="421"/>
      <c r="G41" s="422"/>
      <c r="H41" s="18"/>
    </row>
    <row r="42" spans="6:8">
      <c r="F42" s="421"/>
      <c r="G42" s="422"/>
      <c r="H42" s="18"/>
    </row>
    <row r="43" spans="6:8">
      <c r="F43" s="421"/>
      <c r="G43" s="422"/>
      <c r="H43" s="18"/>
    </row>
    <row r="44" spans="6:8">
      <c r="F44" s="421"/>
      <c r="G44" s="422"/>
      <c r="H44" s="18"/>
    </row>
    <row r="45" spans="6:8">
      <c r="F45" s="421"/>
      <c r="G45" s="422"/>
      <c r="H45" s="18"/>
    </row>
    <row r="46" spans="6:8">
      <c r="F46" s="421"/>
      <c r="G46" s="422"/>
      <c r="H46" s="18"/>
    </row>
    <row r="47" spans="6:8">
      <c r="F47" s="421"/>
      <c r="G47" s="422"/>
      <c r="H47" s="18"/>
    </row>
    <row r="48" spans="6:8">
      <c r="F48" s="421"/>
      <c r="G48" s="422"/>
      <c r="H48" s="18"/>
    </row>
    <row r="49" spans="6:8">
      <c r="F49" s="421"/>
      <c r="G49" s="422"/>
      <c r="H49" s="18"/>
    </row>
    <row r="50" spans="6:8">
      <c r="F50" s="421"/>
      <c r="G50" s="422"/>
      <c r="H50" s="18"/>
    </row>
    <row r="51" spans="6:8">
      <c r="F51" s="421"/>
      <c r="G51" s="422"/>
      <c r="H51" s="18"/>
    </row>
    <row r="52" spans="6:8">
      <c r="F52" s="421"/>
      <c r="G52" s="422"/>
      <c r="H52" s="18"/>
    </row>
    <row r="53" spans="6:8">
      <c r="F53" s="421"/>
      <c r="G53" s="422"/>
      <c r="H53" s="18"/>
    </row>
    <row r="54" spans="6:8">
      <c r="F54" s="421"/>
      <c r="G54" s="422"/>
      <c r="H54" s="18"/>
    </row>
    <row r="55" spans="6:8">
      <c r="F55" s="421"/>
      <c r="G55" s="422"/>
      <c r="H55" s="18"/>
    </row>
    <row r="56" spans="6:8">
      <c r="F56" s="421"/>
      <c r="G56" s="422"/>
      <c r="H56" s="18"/>
    </row>
    <row r="57" spans="6:8">
      <c r="F57" s="421"/>
      <c r="G57" s="422"/>
      <c r="H57" s="18"/>
    </row>
    <row r="58" spans="6:8">
      <c r="F58" s="421"/>
      <c r="G58" s="422"/>
      <c r="H58" s="18"/>
    </row>
    <row r="59" spans="6:8">
      <c r="F59" s="421"/>
      <c r="G59" s="422"/>
      <c r="H59" s="18"/>
    </row>
    <row r="60" spans="6:8">
      <c r="F60" s="421"/>
      <c r="G60" s="422"/>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77">
    <tabColor rgb="FF00B0F0"/>
    <pageSetUpPr fitToPage="1"/>
  </sheetPr>
  <dimension ref="A1:N55"/>
  <sheetViews>
    <sheetView showGridLines="0" view="pageBreakPreview" zoomScale="70" zoomScaleNormal="100" zoomScaleSheetLayoutView="70" workbookViewId="0">
      <selection activeCell="J20" sqref="J20"/>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2322" t="s">
        <v>1081</v>
      </c>
      <c r="B1" s="2322"/>
      <c r="C1" s="2322"/>
      <c r="D1" s="2322"/>
      <c r="E1" s="2322"/>
      <c r="F1" s="2322"/>
      <c r="G1" s="2322"/>
      <c r="H1" s="2322"/>
      <c r="I1" s="2322"/>
      <c r="J1" s="2322"/>
      <c r="K1" s="2322"/>
    </row>
    <row r="2" spans="1:13" s="540" customFormat="1" ht="44.25" customHeight="1">
      <c r="A2" s="2326" t="str">
        <f>+'Resumen '!O2</f>
        <v>Período:  Diciembre 2007 - Abril 2025</v>
      </c>
      <c r="B2" s="2326"/>
      <c r="C2" s="2326"/>
      <c r="D2" s="2326"/>
      <c r="E2" s="2326"/>
      <c r="F2" s="2326"/>
      <c r="G2" s="2326"/>
      <c r="H2" s="2326"/>
      <c r="I2" s="2326"/>
      <c r="J2" s="2326"/>
      <c r="K2" s="2326"/>
    </row>
    <row r="3" spans="1:13" ht="12" customHeight="1">
      <c r="A3" s="156"/>
      <c r="B3" s="156"/>
      <c r="C3" s="156"/>
      <c r="D3" s="156"/>
      <c r="E3" s="156"/>
      <c r="F3" s="156"/>
      <c r="G3" s="156"/>
      <c r="H3" s="156"/>
      <c r="I3" s="156"/>
      <c r="J3" s="156"/>
      <c r="K3" s="156"/>
    </row>
    <row r="4" spans="1:13" ht="33" customHeight="1">
      <c r="B4" s="2323" t="s">
        <v>1082</v>
      </c>
      <c r="C4" s="2324"/>
      <c r="D4" s="2324"/>
      <c r="E4" s="2324"/>
      <c r="F4" s="2324"/>
      <c r="G4" s="2324"/>
      <c r="H4" s="2325"/>
      <c r="L4" s="144"/>
    </row>
    <row r="5" spans="1:13" s="107" customFormat="1" ht="60" customHeight="1">
      <c r="A5" s="617" t="s">
        <v>300</v>
      </c>
      <c r="B5" s="618" t="s">
        <v>1083</v>
      </c>
      <c r="C5" s="618" t="s">
        <v>1084</v>
      </c>
      <c r="D5" s="618" t="s">
        <v>912</v>
      </c>
      <c r="E5" s="618" t="s">
        <v>1085</v>
      </c>
      <c r="F5" s="619" t="s">
        <v>929</v>
      </c>
      <c r="G5" s="618" t="s">
        <v>1086</v>
      </c>
      <c r="H5" s="620" t="s">
        <v>1087</v>
      </c>
      <c r="I5" s="528"/>
      <c r="J5" s="528"/>
      <c r="K5" s="528"/>
      <c r="L5" s="528"/>
    </row>
    <row r="6" spans="1:13" s="79" customFormat="1" ht="18" customHeight="1">
      <c r="A6" s="608">
        <v>2007</v>
      </c>
      <c r="B6" s="609">
        <v>1635826213.1600001</v>
      </c>
      <c r="C6" s="610">
        <f>B6/H6</f>
        <v>0.94578819961072813</v>
      </c>
      <c r="D6" s="609">
        <v>70883463.600000009</v>
      </c>
      <c r="E6" s="610">
        <f t="shared" ref="E6:E25" si="0">D6/H6</f>
        <v>4.0982802990368349E-2</v>
      </c>
      <c r="F6" s="611">
        <v>22880747.219999999</v>
      </c>
      <c r="G6" s="610">
        <f t="shared" ref="G6:G24" si="1">F6/H6</f>
        <v>1.3228997398903602E-2</v>
      </c>
      <c r="H6" s="612">
        <f t="shared" ref="H6:H24" si="2">B6+D6+F6</f>
        <v>1729590423.98</v>
      </c>
      <c r="I6" s="164"/>
      <c r="J6" s="165"/>
      <c r="K6" s="167"/>
      <c r="L6" s="166"/>
      <c r="M6" s="104"/>
    </row>
    <row r="7" spans="1:13" s="79" customFormat="1" ht="18" customHeight="1">
      <c r="A7" s="608">
        <v>2008</v>
      </c>
      <c r="B7" s="611">
        <v>1581393650.8599999</v>
      </c>
      <c r="C7" s="610">
        <f>B7/H7</f>
        <v>0.94890566872483018</v>
      </c>
      <c r="D7" s="611">
        <v>68964104.809999987</v>
      </c>
      <c r="E7" s="610">
        <f t="shared" si="0"/>
        <v>4.1381492809936499E-2</v>
      </c>
      <c r="F7" s="611">
        <v>16186878.83</v>
      </c>
      <c r="G7" s="610">
        <f t="shared" si="1"/>
        <v>9.7128384652334383E-3</v>
      </c>
      <c r="H7" s="612">
        <f t="shared" si="2"/>
        <v>1666544634.4999998</v>
      </c>
      <c r="I7" s="164" t="s">
        <v>1</v>
      </c>
      <c r="J7" s="165"/>
      <c r="K7" s="167"/>
      <c r="L7" s="166"/>
      <c r="M7" s="104"/>
    </row>
    <row r="8" spans="1:13" s="79" customFormat="1" ht="18" customHeight="1">
      <c r="A8" s="608">
        <v>2009</v>
      </c>
      <c r="B8" s="609">
        <v>1687099942.1400001</v>
      </c>
      <c r="C8" s="610">
        <f>B8/H8</f>
        <v>0.95230043356878247</v>
      </c>
      <c r="D8" s="609">
        <v>73407508.640000001</v>
      </c>
      <c r="E8" s="610">
        <f t="shared" si="0"/>
        <v>4.1435602336873975E-2</v>
      </c>
      <c r="F8" s="611">
        <v>11097268.350000001</v>
      </c>
      <c r="G8" s="610">
        <f t="shared" si="1"/>
        <v>6.263964094343601E-3</v>
      </c>
      <c r="H8" s="612">
        <f t="shared" si="2"/>
        <v>1771604719.1300001</v>
      </c>
      <c r="I8" s="164"/>
      <c r="J8" s="165"/>
      <c r="K8" s="168"/>
      <c r="L8" s="166"/>
      <c r="M8" s="104"/>
    </row>
    <row r="9" spans="1:13" s="79" customFormat="1" ht="18" customHeight="1">
      <c r="A9" s="608">
        <v>2010</v>
      </c>
      <c r="B9" s="609">
        <v>1922473262.4300001</v>
      </c>
      <c r="C9" s="610">
        <f>B9/H9</f>
        <v>0.95304420065592299</v>
      </c>
      <c r="D9" s="609">
        <v>83809693.36999999</v>
      </c>
      <c r="E9" s="610">
        <f t="shared" si="0"/>
        <v>4.1547699926951773E-2</v>
      </c>
      <c r="F9" s="611">
        <v>10909175.590000002</v>
      </c>
      <c r="G9" s="610">
        <f t="shared" si="1"/>
        <v>5.4080994171253009E-3</v>
      </c>
      <c r="H9" s="612">
        <f t="shared" si="2"/>
        <v>2017192131.3899999</v>
      </c>
      <c r="I9" s="169"/>
      <c r="J9" s="165"/>
      <c r="K9" s="169"/>
      <c r="L9" s="166"/>
      <c r="M9" s="122"/>
    </row>
    <row r="10" spans="1:13" s="79" customFormat="1" ht="18" customHeight="1">
      <c r="A10" s="608">
        <v>2011</v>
      </c>
      <c r="B10" s="609">
        <v>2175109581.8400002</v>
      </c>
      <c r="C10" s="610">
        <f t="shared" ref="C10:C25" si="3">B10/H10</f>
        <v>0.95103367657376847</v>
      </c>
      <c r="D10" s="609">
        <v>94554070.570000008</v>
      </c>
      <c r="E10" s="610">
        <f t="shared" si="0"/>
        <v>4.1342333333446481E-2</v>
      </c>
      <c r="F10" s="611">
        <v>17436831.43</v>
      </c>
      <c r="G10" s="610">
        <f t="shared" si="1"/>
        <v>7.623990092785026E-3</v>
      </c>
      <c r="H10" s="612">
        <f t="shared" si="2"/>
        <v>2287100483.8400002</v>
      </c>
      <c r="I10" s="169"/>
      <c r="J10" s="165"/>
      <c r="K10" s="169"/>
      <c r="L10" s="166"/>
    </row>
    <row r="11" spans="1:13" s="79" customFormat="1" ht="18" customHeight="1">
      <c r="A11" s="608">
        <v>2012</v>
      </c>
      <c r="B11" s="609">
        <v>2411674911.5</v>
      </c>
      <c r="C11" s="610">
        <f t="shared" si="3"/>
        <v>0.95211214546597178</v>
      </c>
      <c r="D11" s="609">
        <v>104789518.08999999</v>
      </c>
      <c r="E11" s="610">
        <f t="shared" si="0"/>
        <v>4.1370158314148531E-2</v>
      </c>
      <c r="F11" s="611">
        <v>16509152.34</v>
      </c>
      <c r="G11" s="610">
        <f t="shared" si="1"/>
        <v>6.5176962198795789E-3</v>
      </c>
      <c r="H11" s="612">
        <f t="shared" si="2"/>
        <v>2532973581.9300003</v>
      </c>
      <c r="I11" s="170"/>
      <c r="K11" s="169"/>
      <c r="L11" s="166"/>
    </row>
    <row r="12" spans="1:13" s="79" customFormat="1" ht="18" customHeight="1">
      <c r="A12" s="608">
        <v>2013</v>
      </c>
      <c r="B12" s="609">
        <v>2663186569.8199997</v>
      </c>
      <c r="C12" s="610">
        <f t="shared" si="3"/>
        <v>0.95177416884053523</v>
      </c>
      <c r="D12" s="609">
        <v>115834844.37000003</v>
      </c>
      <c r="E12" s="610">
        <f t="shared" si="0"/>
        <v>4.1397254691953878E-2</v>
      </c>
      <c r="F12" s="611">
        <v>19107235.449999999</v>
      </c>
      <c r="G12" s="610">
        <f t="shared" si="1"/>
        <v>6.8285764675109885E-3</v>
      </c>
      <c r="H12" s="612">
        <f t="shared" si="2"/>
        <v>2798128649.6399994</v>
      </c>
      <c r="K12" s="169"/>
      <c r="L12" s="166"/>
    </row>
    <row r="13" spans="1:13" s="79" customFormat="1" ht="18" customHeight="1">
      <c r="A13" s="608">
        <v>2014</v>
      </c>
      <c r="B13" s="609">
        <v>3005088863.5</v>
      </c>
      <c r="C13" s="610">
        <f t="shared" si="3"/>
        <v>0.95169285075746779</v>
      </c>
      <c r="D13" s="609">
        <v>131454109.10000002</v>
      </c>
      <c r="E13" s="610">
        <f t="shared" si="0"/>
        <v>4.1630694304146058E-2</v>
      </c>
      <c r="F13" s="611">
        <v>21081739.099999998</v>
      </c>
      <c r="G13" s="610">
        <f t="shared" si="1"/>
        <v>6.6764549383862741E-3</v>
      </c>
      <c r="H13" s="612">
        <f t="shared" si="2"/>
        <v>3157624711.6999998</v>
      </c>
      <c r="K13" s="169"/>
      <c r="L13" s="166"/>
    </row>
    <row r="14" spans="1:13" s="79" customFormat="1" ht="18" customHeight="1">
      <c r="A14" s="608">
        <v>2015</v>
      </c>
      <c r="B14" s="609">
        <v>3382710516.6399999</v>
      </c>
      <c r="C14" s="610">
        <f t="shared" si="3"/>
        <v>0.95338904993406337</v>
      </c>
      <c r="D14" s="609">
        <v>147262666.77000001</v>
      </c>
      <c r="E14" s="610">
        <f t="shared" si="0"/>
        <v>4.1504767632928548E-2</v>
      </c>
      <c r="F14" s="611">
        <v>18117196.77</v>
      </c>
      <c r="G14" s="610">
        <f t="shared" si="1"/>
        <v>5.106182433008059E-3</v>
      </c>
      <c r="H14" s="612">
        <f t="shared" si="2"/>
        <v>3548090380.1799998</v>
      </c>
      <c r="I14" s="125"/>
      <c r="J14" s="165"/>
      <c r="K14" s="169"/>
      <c r="L14" s="166"/>
    </row>
    <row r="15" spans="1:13" s="79" customFormat="1" ht="18" customHeight="1">
      <c r="A15" s="608">
        <v>2016</v>
      </c>
      <c r="B15" s="609">
        <v>3862688790.9599996</v>
      </c>
      <c r="C15" s="610">
        <f t="shared" si="3"/>
        <v>0.95416022594621486</v>
      </c>
      <c r="D15" s="609">
        <v>168521814.59</v>
      </c>
      <c r="E15" s="610">
        <f t="shared" si="0"/>
        <v>4.1628208066458665E-2</v>
      </c>
      <c r="F15" s="611">
        <v>17049514.629999999</v>
      </c>
      <c r="G15" s="610">
        <f t="shared" si="1"/>
        <v>4.2115659873264068E-3</v>
      </c>
      <c r="H15" s="612">
        <f t="shared" si="2"/>
        <v>4048260120.1799998</v>
      </c>
      <c r="J15" s="165"/>
      <c r="K15" s="171"/>
      <c r="L15" s="166"/>
    </row>
    <row r="16" spans="1:13" s="79" customFormat="1" ht="18" customHeight="1">
      <c r="A16" s="608">
        <v>2017</v>
      </c>
      <c r="B16" s="609">
        <v>4365095869.0900002</v>
      </c>
      <c r="C16" s="610">
        <f t="shared" si="3"/>
        <v>0.95451833422211996</v>
      </c>
      <c r="D16" s="609">
        <v>189049670.72999999</v>
      </c>
      <c r="E16" s="610">
        <f t="shared" si="0"/>
        <v>4.1339613653905587E-2</v>
      </c>
      <c r="F16" s="611">
        <v>18941966.82</v>
      </c>
      <c r="G16" s="610">
        <f t="shared" si="1"/>
        <v>4.1420521239746181E-3</v>
      </c>
      <c r="H16" s="612">
        <f t="shared" si="2"/>
        <v>4573087506.6399994</v>
      </c>
      <c r="I16" s="110"/>
      <c r="J16" s="110"/>
      <c r="K16" s="110"/>
      <c r="L16" s="166"/>
      <c r="M16" s="110"/>
    </row>
    <row r="17" spans="1:14" s="79" customFormat="1" ht="18" customHeight="1">
      <c r="A17" s="608">
        <v>2018</v>
      </c>
      <c r="B17" s="609">
        <v>4960308050.1199999</v>
      </c>
      <c r="C17" s="610">
        <f t="shared" si="3"/>
        <v>0.95442170562015738</v>
      </c>
      <c r="D17" s="609">
        <v>216582431.09999999</v>
      </c>
      <c r="E17" s="610">
        <f t="shared" si="0"/>
        <v>4.1673011274535959E-2</v>
      </c>
      <c r="F17" s="611">
        <v>20296486.460000001</v>
      </c>
      <c r="G17" s="610">
        <f t="shared" si="1"/>
        <v>3.9052831053065342E-3</v>
      </c>
      <c r="H17" s="612">
        <f t="shared" si="2"/>
        <v>5197186967.6800003</v>
      </c>
      <c r="I17" s="110"/>
      <c r="J17" s="110"/>
      <c r="K17" s="110"/>
      <c r="L17" s="166"/>
      <c r="M17" s="110"/>
    </row>
    <row r="18" spans="1:14" s="79" customFormat="1" ht="18" customHeight="1">
      <c r="A18" s="608">
        <v>2019</v>
      </c>
      <c r="B18" s="609">
        <v>5454398175.96</v>
      </c>
      <c r="C18" s="610">
        <f t="shared" si="3"/>
        <v>0.95509227720429402</v>
      </c>
      <c r="D18" s="609">
        <v>236137407.19999999</v>
      </c>
      <c r="E18" s="610">
        <f t="shared" si="0"/>
        <v>4.13488356918627E-2</v>
      </c>
      <c r="F18" s="611">
        <v>20324305.609999999</v>
      </c>
      <c r="G18" s="610">
        <f t="shared" si="1"/>
        <v>3.5588871038433815E-3</v>
      </c>
      <c r="H18" s="612">
        <f t="shared" si="2"/>
        <v>5710859888.7699995</v>
      </c>
      <c r="I18" s="110"/>
      <c r="J18" s="110"/>
      <c r="K18" s="110"/>
      <c r="L18" s="166"/>
      <c r="M18" s="110"/>
    </row>
    <row r="19" spans="1:14" s="79" customFormat="1" ht="18" customHeight="1">
      <c r="A19" s="608">
        <v>2020</v>
      </c>
      <c r="B19" s="609">
        <v>5371768693.4499998</v>
      </c>
      <c r="C19" s="610">
        <f t="shared" si="3"/>
        <v>0.95732388446010375</v>
      </c>
      <c r="D19" s="609">
        <v>233752220.31999999</v>
      </c>
      <c r="E19" s="610">
        <f t="shared" si="0"/>
        <v>4.1657896370477683E-2</v>
      </c>
      <c r="F19" s="611">
        <v>5713466.4100000001</v>
      </c>
      <c r="G19" s="610">
        <f t="shared" si="1"/>
        <v>1.0182191694186051E-3</v>
      </c>
      <c r="H19" s="612">
        <f t="shared" si="2"/>
        <v>5611234380.1799994</v>
      </c>
      <c r="I19" s="110"/>
      <c r="J19" s="110"/>
      <c r="K19" s="110"/>
      <c r="L19" s="172"/>
      <c r="M19" s="110"/>
    </row>
    <row r="20" spans="1:14" s="79" customFormat="1" ht="18" customHeight="1">
      <c r="A20" s="608">
        <v>2021</v>
      </c>
      <c r="B20" s="609">
        <v>6220465761.29</v>
      </c>
      <c r="C20" s="610">
        <f>B20/H20</f>
        <v>0.95737338828337348</v>
      </c>
      <c r="D20" s="609">
        <v>270679156.31999999</v>
      </c>
      <c r="E20" s="610">
        <f t="shared" si="0"/>
        <v>4.1659424063773424E-2</v>
      </c>
      <c r="F20" s="611">
        <v>6284233.25</v>
      </c>
      <c r="G20" s="610">
        <f t="shared" si="1"/>
        <v>9.6718765285316258E-4</v>
      </c>
      <c r="H20" s="612">
        <f t="shared" si="2"/>
        <v>6497429150.8599997</v>
      </c>
      <c r="I20" s="110"/>
      <c r="J20" s="110"/>
      <c r="K20" s="110"/>
      <c r="L20" s="110"/>
      <c r="M20" s="110"/>
    </row>
    <row r="21" spans="1:14" s="79" customFormat="1" ht="18" customHeight="1">
      <c r="A21" s="608">
        <v>2022</v>
      </c>
      <c r="B21" s="609">
        <v>7563778550.6599998</v>
      </c>
      <c r="C21" s="610">
        <v>0.95758727755140161</v>
      </c>
      <c r="D21" s="609">
        <v>329129862.10000002</v>
      </c>
      <c r="E21" s="610">
        <f t="shared" si="0"/>
        <v>4.1668402439109763E-2</v>
      </c>
      <c r="F21" s="611">
        <v>5879225.6900000004</v>
      </c>
      <c r="G21" s="610">
        <f t="shared" si="1"/>
        <v>7.4432000948865826E-4</v>
      </c>
      <c r="H21" s="612">
        <f t="shared" si="2"/>
        <v>7898787638.4499998</v>
      </c>
      <c r="I21" s="110"/>
      <c r="J21" s="110"/>
      <c r="K21" s="110"/>
      <c r="L21" s="110"/>
      <c r="M21" s="110"/>
      <c r="N21" s="79" t="s">
        <v>1088</v>
      </c>
    </row>
    <row r="22" spans="1:14" s="79" customFormat="1" ht="18" customHeight="1">
      <c r="A22" s="608">
        <v>2023</v>
      </c>
      <c r="B22" s="609">
        <v>8660987464.0699997</v>
      </c>
      <c r="C22" s="610">
        <f>B22/H22</f>
        <v>0.95764504708886067</v>
      </c>
      <c r="D22" s="609">
        <v>376868065.86000001</v>
      </c>
      <c r="E22" s="610">
        <f t="shared" si="0"/>
        <v>4.1670287386282569E-2</v>
      </c>
      <c r="F22" s="611">
        <v>6192147.6500000004</v>
      </c>
      <c r="G22" s="610">
        <f t="shared" si="1"/>
        <v>6.8466552485677424E-4</v>
      </c>
      <c r="H22" s="612">
        <f t="shared" si="2"/>
        <v>9044047677.5799999</v>
      </c>
      <c r="I22" s="110"/>
      <c r="J22" s="110"/>
      <c r="K22" s="110"/>
      <c r="L22" s="110"/>
      <c r="M22" s="110"/>
    </row>
    <row r="23" spans="1:14" s="79" customFormat="1" ht="18" customHeight="1">
      <c r="A23" s="608">
        <v>2024</v>
      </c>
      <c r="B23" s="609">
        <v>9740712221.9899998</v>
      </c>
      <c r="C23" s="610">
        <f>B23/H23</f>
        <v>0.95764425801028563</v>
      </c>
      <c r="D23" s="609">
        <v>423856200.49000001</v>
      </c>
      <c r="E23" s="610">
        <f>D23/H23</f>
        <v>4.1670819070597692E-2</v>
      </c>
      <c r="F23" s="611">
        <v>6966717.54</v>
      </c>
      <c r="G23" s="610">
        <f>F23/H23</f>
        <v>6.8492291911664198E-4</v>
      </c>
      <c r="H23" s="612">
        <f t="shared" si="2"/>
        <v>10171535140.02</v>
      </c>
      <c r="I23" s="110"/>
      <c r="J23" s="110"/>
      <c r="K23" s="110"/>
      <c r="L23" s="110"/>
      <c r="M23" s="110"/>
    </row>
    <row r="24" spans="1:14" s="80" customFormat="1" ht="18.75">
      <c r="A24" s="1788" t="str">
        <f>+'Resumen '!O6</f>
        <v>Abr.2025</v>
      </c>
      <c r="B24" s="1200">
        <f>+'Resumen '!H97</f>
        <v>3358327662.4299998</v>
      </c>
      <c r="C24" s="1201">
        <f>B24/H24</f>
        <v>0.95753267927874219</v>
      </c>
      <c r="D24" s="1200">
        <f>+'Resumen '!H98</f>
        <v>146133909.41</v>
      </c>
      <c r="E24" s="610">
        <f t="shared" si="0"/>
        <v>4.1665974221701159E-2</v>
      </c>
      <c r="F24" s="1202">
        <f>+'Resumen '!H99</f>
        <v>2810540.23</v>
      </c>
      <c r="G24" s="610">
        <f t="shared" si="1"/>
        <v>8.0134649955666338E-4</v>
      </c>
      <c r="H24" s="612">
        <f t="shared" si="2"/>
        <v>3507272112.0699997</v>
      </c>
      <c r="I24" s="111"/>
      <c r="J24" s="111"/>
      <c r="K24" s="111"/>
      <c r="L24" s="110">
        <f>+Tabla42[[#This Row],[Total por Año]]-'Resumen '!H100</f>
        <v>0</v>
      </c>
      <c r="M24" s="110"/>
    </row>
    <row r="25" spans="1:14" ht="18.75" customHeight="1">
      <c r="A25" s="613" t="s">
        <v>235</v>
      </c>
      <c r="B25" s="614">
        <f>SUM(B6:B24)</f>
        <v>80023094751.909988</v>
      </c>
      <c r="C25" s="615">
        <f t="shared" si="3"/>
        <v>0.95528804624822017</v>
      </c>
      <c r="D25" s="614">
        <f>SUM(D6:D24)</f>
        <v>3481670717.4399996</v>
      </c>
      <c r="E25" s="615">
        <f t="shared" si="0"/>
        <v>4.15629816324182E-2</v>
      </c>
      <c r="F25" s="614">
        <f>SUM(F6:F24)</f>
        <v>263784829.37</v>
      </c>
      <c r="G25" s="615">
        <f>F25/H25</f>
        <v>3.1489721193614911E-3</v>
      </c>
      <c r="H25" s="616">
        <f>SUM(H6:H24)</f>
        <v>83768550298.720001</v>
      </c>
      <c r="I25" s="8"/>
      <c r="J25" s="8"/>
      <c r="K25" s="8"/>
      <c r="L25" s="110"/>
      <c r="M25" s="110"/>
    </row>
    <row r="26" spans="1:14" ht="18.75">
      <c r="A26" t="s">
        <v>186</v>
      </c>
      <c r="B26" s="7"/>
      <c r="C26" s="7"/>
      <c r="D26" s="7"/>
      <c r="E26" s="7"/>
      <c r="F26" s="7"/>
      <c r="G26" s="8"/>
      <c r="H26" s="8"/>
      <c r="I26" s="8"/>
      <c r="J26" s="8"/>
      <c r="K26" s="8"/>
      <c r="L26" s="111"/>
      <c r="M26" s="111"/>
    </row>
    <row r="27" spans="1:14">
      <c r="B27" s="41"/>
      <c r="C27" s="41"/>
      <c r="D27" s="41"/>
      <c r="E27" s="41"/>
      <c r="F27" s="41"/>
      <c r="G27" s="8"/>
      <c r="H27" s="8"/>
      <c r="I27" s="8"/>
      <c r="J27" s="8"/>
      <c r="K27" s="8"/>
      <c r="L27" s="145"/>
      <c r="M27" s="8"/>
    </row>
    <row r="28" spans="1:14">
      <c r="C28" s="8"/>
      <c r="D28" s="8"/>
      <c r="E28" s="8"/>
      <c r="F28" s="8"/>
      <c r="G28" s="8"/>
      <c r="H28" s="8"/>
      <c r="I28" s="8"/>
      <c r="J28" s="8"/>
      <c r="K28" s="8"/>
      <c r="L28" s="145"/>
      <c r="M28" s="8"/>
    </row>
    <row r="29" spans="1:14">
      <c r="C29" s="8"/>
      <c r="D29" s="8"/>
      <c r="E29" s="8"/>
      <c r="F29" s="8"/>
      <c r="G29" s="8"/>
      <c r="H29" s="8"/>
      <c r="I29" s="8"/>
      <c r="J29" s="8"/>
      <c r="K29" s="8"/>
      <c r="L29" s="146"/>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189"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5"/>
    </row>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
    </sheetView>
  </sheetViews>
  <sheetFormatPr defaultColWidth="11.42578125" defaultRowHeight="14.25"/>
  <cols>
    <col min="1" max="6" width="11.42578125" style="307"/>
    <col min="7" max="7" width="9.42578125" style="307" customWidth="1"/>
    <col min="8" max="11" width="11.42578125" style="307"/>
    <col min="12" max="12" width="19.28515625" style="307" customWidth="1"/>
    <col min="13" max="13" width="11.42578125" style="307"/>
    <col min="14" max="14" width="30.140625" style="307" customWidth="1"/>
    <col min="15" max="16384" width="11.42578125" style="307"/>
  </cols>
  <sheetData>
    <row r="3" spans="1:15" ht="25.5" customHeight="1"/>
    <row r="4" spans="1:15" ht="24" customHeight="1"/>
    <row r="5" spans="1:15" ht="22.5" customHeight="1">
      <c r="A5" s="2190" t="s">
        <v>1089</v>
      </c>
      <c r="B5" s="2190"/>
      <c r="C5" s="2190"/>
      <c r="D5" s="2190"/>
      <c r="E5" s="2190"/>
      <c r="F5" s="2190"/>
      <c r="G5" s="2190"/>
      <c r="H5" s="2190"/>
      <c r="I5" s="2190"/>
      <c r="J5" s="2190"/>
      <c r="K5" s="2190"/>
      <c r="L5" s="2190"/>
      <c r="M5" s="2190"/>
      <c r="N5" s="2190"/>
      <c r="O5" s="2190"/>
    </row>
    <row r="6" spans="1:15" ht="17.25" customHeight="1">
      <c r="A6" s="2190"/>
      <c r="B6" s="2190"/>
      <c r="C6" s="2190"/>
      <c r="D6" s="2190"/>
      <c r="E6" s="2190"/>
      <c r="F6" s="2190"/>
      <c r="G6" s="2190"/>
      <c r="H6" s="2190"/>
      <c r="I6" s="2190"/>
      <c r="J6" s="2190"/>
      <c r="K6" s="2190"/>
      <c r="L6" s="2190"/>
      <c r="M6" s="2190"/>
      <c r="N6" s="2190"/>
      <c r="O6" s="2190"/>
    </row>
    <row r="7" spans="1:15" ht="14.25" customHeight="1">
      <c r="A7" s="2190"/>
      <c r="B7" s="2190"/>
      <c r="C7" s="2190"/>
      <c r="D7" s="2190"/>
      <c r="E7" s="2190"/>
      <c r="F7" s="2190"/>
      <c r="G7" s="2190"/>
      <c r="H7" s="2190"/>
      <c r="I7" s="2190"/>
      <c r="J7" s="2190"/>
      <c r="K7" s="2190"/>
      <c r="L7" s="2190"/>
      <c r="M7" s="2190"/>
      <c r="N7" s="2190"/>
      <c r="O7" s="2190"/>
    </row>
    <row r="8" spans="1:15" ht="14.25" customHeight="1">
      <c r="A8" s="2190"/>
      <c r="B8" s="2190"/>
      <c r="C8" s="2190"/>
      <c r="D8" s="2190"/>
      <c r="E8" s="2190"/>
      <c r="F8" s="2190"/>
      <c r="G8" s="2190"/>
      <c r="H8" s="2190"/>
      <c r="I8" s="2190"/>
      <c r="J8" s="2190"/>
      <c r="K8" s="2190"/>
      <c r="L8" s="2190"/>
      <c r="M8" s="2190"/>
      <c r="N8" s="2190"/>
      <c r="O8" s="2190"/>
    </row>
    <row r="9" spans="1:15" ht="14.25" customHeight="1">
      <c r="A9" s="2190"/>
      <c r="B9" s="2190"/>
      <c r="C9" s="2190"/>
      <c r="D9" s="2190"/>
      <c r="E9" s="2190"/>
      <c r="F9" s="2190"/>
      <c r="G9" s="2190"/>
      <c r="H9" s="2190"/>
      <c r="I9" s="2190"/>
      <c r="J9" s="2190"/>
      <c r="K9" s="2190"/>
      <c r="L9" s="2190"/>
      <c r="M9" s="2190"/>
      <c r="N9" s="2190"/>
      <c r="O9" s="2190"/>
    </row>
    <row r="10" spans="1:15" ht="14.25" customHeight="1">
      <c r="A10" s="2190"/>
      <c r="B10" s="2190"/>
      <c r="C10" s="2190"/>
      <c r="D10" s="2190"/>
      <c r="E10" s="2190"/>
      <c r="F10" s="2190"/>
      <c r="G10" s="2190"/>
      <c r="H10" s="2190"/>
      <c r="I10" s="2190"/>
      <c r="J10" s="2190"/>
      <c r="K10" s="2190"/>
      <c r="L10" s="2190"/>
      <c r="M10" s="2190"/>
      <c r="N10" s="2190"/>
      <c r="O10" s="2190"/>
    </row>
    <row r="11" spans="1:15" ht="14.25" customHeight="1">
      <c r="A11" s="2190"/>
      <c r="B11" s="2190"/>
      <c r="C11" s="2190"/>
      <c r="D11" s="2190"/>
      <c r="E11" s="2190"/>
      <c r="F11" s="2190"/>
      <c r="G11" s="2190"/>
      <c r="H11" s="2190"/>
      <c r="I11" s="2190"/>
      <c r="J11" s="2190"/>
      <c r="K11" s="2190"/>
      <c r="L11" s="2190"/>
      <c r="M11" s="2190"/>
      <c r="N11" s="2190"/>
      <c r="O11" s="2190"/>
    </row>
    <row r="12" spans="1:15" ht="14.25" customHeight="1">
      <c r="A12" s="2190"/>
      <c r="B12" s="2190"/>
      <c r="C12" s="2190"/>
      <c r="D12" s="2190"/>
      <c r="E12" s="2190"/>
      <c r="F12" s="2190"/>
      <c r="G12" s="2190"/>
      <c r="H12" s="2190"/>
      <c r="I12" s="2190"/>
      <c r="J12" s="2190"/>
      <c r="K12" s="2190"/>
      <c r="L12" s="2190"/>
      <c r="M12" s="2190"/>
      <c r="N12" s="2190"/>
      <c r="O12" s="2190"/>
    </row>
    <row r="13" spans="1:15" ht="14.25" customHeight="1">
      <c r="A13" s="2190"/>
      <c r="B13" s="2190"/>
      <c r="C13" s="2190"/>
      <c r="D13" s="2190"/>
      <c r="E13" s="2190"/>
      <c r="F13" s="2190"/>
      <c r="G13" s="2190"/>
      <c r="H13" s="2190"/>
      <c r="I13" s="2190"/>
      <c r="J13" s="2190"/>
      <c r="K13" s="2190"/>
      <c r="L13" s="2190"/>
      <c r="M13" s="2190"/>
      <c r="N13" s="2190"/>
      <c r="O13" s="2190"/>
    </row>
    <row r="14" spans="1:15" ht="14.25" customHeight="1">
      <c r="A14" s="2190"/>
      <c r="B14" s="2190"/>
      <c r="C14" s="2190"/>
      <c r="D14" s="2190"/>
      <c r="E14" s="2190"/>
      <c r="F14" s="2190"/>
      <c r="G14" s="2190"/>
      <c r="H14" s="2190"/>
      <c r="I14" s="2190"/>
      <c r="J14" s="2190"/>
      <c r="K14" s="2190"/>
      <c r="L14" s="2190"/>
      <c r="M14" s="2190"/>
      <c r="N14" s="2190"/>
      <c r="O14" s="2190"/>
    </row>
    <row r="15" spans="1:15" ht="14.25" customHeight="1">
      <c r="A15" s="2190"/>
      <c r="B15" s="2190"/>
      <c r="C15" s="2190"/>
      <c r="D15" s="2190"/>
      <c r="E15" s="2190"/>
      <c r="F15" s="2190"/>
      <c r="G15" s="2190"/>
      <c r="H15" s="2190"/>
      <c r="I15" s="2190"/>
      <c r="J15" s="2190"/>
      <c r="K15" s="2190"/>
      <c r="L15" s="2190"/>
      <c r="M15" s="2190"/>
      <c r="N15" s="2190"/>
      <c r="O15" s="2190"/>
    </row>
    <row r="16" spans="1:15" ht="14.25" customHeight="1">
      <c r="A16" s="2190"/>
      <c r="B16" s="2190"/>
      <c r="C16" s="2190"/>
      <c r="D16" s="2190"/>
      <c r="E16" s="2190"/>
      <c r="F16" s="2190"/>
      <c r="G16" s="2190"/>
      <c r="H16" s="2190"/>
      <c r="I16" s="2190"/>
      <c r="J16" s="2190"/>
      <c r="K16" s="2190"/>
      <c r="L16" s="2190"/>
      <c r="M16" s="2190"/>
      <c r="N16" s="2190"/>
      <c r="O16" s="2190"/>
    </row>
    <row r="17" spans="1:17" ht="14.25" customHeight="1">
      <c r="A17" s="2190"/>
      <c r="B17" s="2190"/>
      <c r="C17" s="2190"/>
      <c r="D17" s="2190"/>
      <c r="E17" s="2190"/>
      <c r="F17" s="2190"/>
      <c r="G17" s="2190"/>
      <c r="H17" s="2190"/>
      <c r="I17" s="2190"/>
      <c r="J17" s="2190"/>
      <c r="K17" s="2190"/>
      <c r="L17" s="2190"/>
      <c r="M17" s="2190"/>
      <c r="N17" s="2190"/>
      <c r="O17" s="2190"/>
    </row>
    <row r="18" spans="1:17" ht="14.25" customHeight="1">
      <c r="A18" s="2190"/>
      <c r="B18" s="2190"/>
      <c r="C18" s="2190"/>
      <c r="D18" s="2190"/>
      <c r="E18" s="2190"/>
      <c r="F18" s="2190"/>
      <c r="G18" s="2190"/>
      <c r="H18" s="2190"/>
      <c r="I18" s="2190"/>
      <c r="J18" s="2190"/>
      <c r="K18" s="2190"/>
      <c r="L18" s="2190"/>
      <c r="M18" s="2190"/>
      <c r="N18" s="2190"/>
      <c r="O18" s="2190"/>
    </row>
    <row r="19" spans="1:17" ht="14.25" customHeight="1">
      <c r="A19" s="2190"/>
      <c r="B19" s="2190"/>
      <c r="C19" s="2190"/>
      <c r="D19" s="2190"/>
      <c r="E19" s="2190"/>
      <c r="F19" s="2190"/>
      <c r="G19" s="2190"/>
      <c r="H19" s="2190"/>
      <c r="I19" s="2190"/>
      <c r="J19" s="2190"/>
      <c r="K19" s="2190"/>
      <c r="L19" s="2190"/>
      <c r="M19" s="2190"/>
      <c r="N19" s="2190"/>
      <c r="O19" s="2190"/>
    </row>
    <row r="20" spans="1:17" ht="14.25" customHeight="1">
      <c r="A20" s="2190"/>
      <c r="B20" s="2190"/>
      <c r="C20" s="2190"/>
      <c r="D20" s="2190"/>
      <c r="E20" s="2190"/>
      <c r="F20" s="2190"/>
      <c r="G20" s="2190"/>
      <c r="H20" s="2190"/>
      <c r="I20" s="2190"/>
      <c r="J20" s="2190"/>
      <c r="K20" s="2190"/>
      <c r="L20" s="2190"/>
      <c r="M20" s="2190"/>
      <c r="N20" s="2190"/>
      <c r="O20" s="2190"/>
      <c r="Q20" s="358"/>
    </row>
    <row r="21" spans="1:17" ht="14.25" customHeight="1">
      <c r="A21" s="2190"/>
      <c r="B21" s="2190"/>
      <c r="C21" s="2190"/>
      <c r="D21" s="2190"/>
      <c r="E21" s="2190"/>
      <c r="F21" s="2190"/>
      <c r="G21" s="2190"/>
      <c r="H21" s="2190"/>
      <c r="I21" s="2190"/>
      <c r="J21" s="2190"/>
      <c r="K21" s="2190"/>
      <c r="L21" s="2190"/>
      <c r="M21" s="2190"/>
      <c r="N21" s="2190"/>
      <c r="O21" s="2190"/>
      <c r="Q21" s="358"/>
    </row>
    <row r="22" spans="1:17" ht="14.25" customHeight="1">
      <c r="A22" s="2190"/>
      <c r="B22" s="2190"/>
      <c r="C22" s="2190"/>
      <c r="D22" s="2190"/>
      <c r="E22" s="2190"/>
      <c r="F22" s="2190"/>
      <c r="G22" s="2190"/>
      <c r="H22" s="2190"/>
      <c r="I22" s="2190"/>
      <c r="J22" s="2190"/>
      <c r="K22" s="2190"/>
      <c r="L22" s="2190"/>
      <c r="M22" s="2190"/>
      <c r="N22" s="2190"/>
      <c r="O22" s="2190"/>
      <c r="Q22" s="358"/>
    </row>
    <row r="23" spans="1:17" ht="14.25" customHeight="1">
      <c r="A23" s="2190"/>
      <c r="B23" s="2190"/>
      <c r="C23" s="2190"/>
      <c r="D23" s="2190"/>
      <c r="E23" s="2190"/>
      <c r="F23" s="2190"/>
      <c r="G23" s="2190"/>
      <c r="H23" s="2190"/>
      <c r="I23" s="2190"/>
      <c r="J23" s="2190"/>
      <c r="K23" s="2190"/>
      <c r="L23" s="2190"/>
      <c r="M23" s="2190"/>
      <c r="N23" s="2190"/>
      <c r="O23" s="2190"/>
    </row>
    <row r="24" spans="1:17" ht="14.25" customHeight="1">
      <c r="A24" s="2190"/>
      <c r="B24" s="2190"/>
      <c r="C24" s="2190"/>
      <c r="D24" s="2190"/>
      <c r="E24" s="2190"/>
      <c r="F24" s="2190"/>
      <c r="G24" s="2190"/>
      <c r="H24" s="2190"/>
      <c r="I24" s="2190"/>
      <c r="J24" s="2190"/>
      <c r="K24" s="2190"/>
      <c r="L24" s="2190"/>
      <c r="M24" s="2190"/>
      <c r="N24" s="2190"/>
      <c r="O24" s="2190"/>
    </row>
    <row r="25" spans="1:17" ht="14.25" customHeight="1">
      <c r="A25" s="2190"/>
      <c r="B25" s="2190"/>
      <c r="C25" s="2190"/>
      <c r="D25" s="2190"/>
      <c r="E25" s="2190"/>
      <c r="F25" s="2190"/>
      <c r="G25" s="2190"/>
      <c r="H25" s="2190"/>
      <c r="I25" s="2190"/>
      <c r="J25" s="2190"/>
      <c r="K25" s="2190"/>
      <c r="L25" s="2190"/>
      <c r="M25" s="2190"/>
      <c r="N25" s="2190"/>
      <c r="O25" s="2190"/>
    </row>
    <row r="26" spans="1:17" ht="14.25" customHeight="1">
      <c r="A26" s="2190"/>
      <c r="B26" s="2190"/>
      <c r="C26" s="2190"/>
      <c r="D26" s="2190"/>
      <c r="E26" s="2190"/>
      <c r="F26" s="2190"/>
      <c r="G26" s="2190"/>
      <c r="H26" s="2190"/>
      <c r="I26" s="2190"/>
      <c r="J26" s="2190"/>
      <c r="K26" s="2190"/>
      <c r="L26" s="2190"/>
      <c r="M26" s="2190"/>
      <c r="N26" s="2190"/>
      <c r="O26" s="2190"/>
    </row>
    <row r="27" spans="1:17" ht="14.25" customHeight="1">
      <c r="A27" s="2190"/>
      <c r="B27" s="2190"/>
      <c r="C27" s="2190"/>
      <c r="D27" s="2190"/>
      <c r="E27" s="2190"/>
      <c r="F27" s="2190"/>
      <c r="G27" s="2190"/>
      <c r="H27" s="2190"/>
      <c r="I27" s="2190"/>
      <c r="J27" s="2190"/>
      <c r="K27" s="2190"/>
      <c r="L27" s="2190"/>
      <c r="M27" s="2190"/>
      <c r="N27" s="2190"/>
      <c r="O27" s="2190"/>
    </row>
    <row r="28" spans="1:17" ht="14.25" customHeight="1">
      <c r="A28" s="2190"/>
      <c r="B28" s="2190"/>
      <c r="C28" s="2190"/>
      <c r="D28" s="2190"/>
      <c r="E28" s="2190"/>
      <c r="F28" s="2190"/>
      <c r="G28" s="2190"/>
      <c r="H28" s="2190"/>
      <c r="I28" s="2190"/>
      <c r="J28" s="2190"/>
      <c r="K28" s="2190"/>
      <c r="L28" s="2190"/>
      <c r="M28" s="2190"/>
      <c r="N28" s="2190"/>
      <c r="O28" s="2190"/>
    </row>
    <row r="29" spans="1:17" ht="14.25" customHeight="1">
      <c r="A29" s="2190"/>
      <c r="B29" s="2190"/>
      <c r="C29" s="2190"/>
      <c r="D29" s="2190"/>
      <c r="E29" s="2190"/>
      <c r="F29" s="2190"/>
      <c r="G29" s="2190"/>
      <c r="H29" s="2190"/>
      <c r="I29" s="2190"/>
      <c r="J29" s="2190"/>
      <c r="K29" s="2190"/>
      <c r="L29" s="2190"/>
      <c r="M29" s="2190"/>
      <c r="N29" s="2190"/>
      <c r="O29" s="2190"/>
    </row>
    <row r="30" spans="1:17" ht="14.25" customHeight="1">
      <c r="A30" s="2190"/>
      <c r="B30" s="2190"/>
      <c r="C30" s="2190"/>
      <c r="D30" s="2190"/>
      <c r="E30" s="2190"/>
      <c r="F30" s="2190"/>
      <c r="G30" s="2190"/>
      <c r="H30" s="2190"/>
      <c r="I30" s="2190"/>
      <c r="J30" s="2190"/>
      <c r="K30" s="2190"/>
      <c r="L30" s="2190"/>
      <c r="M30" s="2190"/>
      <c r="N30" s="2190"/>
      <c r="O30" s="2190"/>
    </row>
    <row r="31" spans="1:17" ht="14.25" customHeight="1">
      <c r="A31" s="2190"/>
      <c r="B31" s="2190"/>
      <c r="C31" s="2190"/>
      <c r="D31" s="2190"/>
      <c r="E31" s="2190"/>
      <c r="F31" s="2190"/>
      <c r="G31" s="2190"/>
      <c r="H31" s="2190"/>
      <c r="I31" s="2190"/>
      <c r="J31" s="2190"/>
      <c r="K31" s="2190"/>
      <c r="L31" s="2190"/>
      <c r="M31" s="2190"/>
      <c r="N31" s="2190"/>
      <c r="O31" s="2190"/>
    </row>
    <row r="32" spans="1:17" ht="14.25" customHeight="1">
      <c r="A32" s="2190"/>
      <c r="B32" s="2190"/>
      <c r="C32" s="2190"/>
      <c r="D32" s="2190"/>
      <c r="E32" s="2190"/>
      <c r="F32" s="2190"/>
      <c r="G32" s="2190"/>
      <c r="H32" s="2190"/>
      <c r="I32" s="2190"/>
      <c r="J32" s="2190"/>
      <c r="K32" s="2190"/>
      <c r="L32" s="2190"/>
      <c r="M32" s="2190"/>
      <c r="N32" s="2190"/>
      <c r="O32" s="2190"/>
    </row>
    <row r="33" spans="1:17" ht="14.25" customHeight="1">
      <c r="A33" s="2190"/>
      <c r="B33" s="2190"/>
      <c r="C33" s="2190"/>
      <c r="D33" s="2190"/>
      <c r="E33" s="2190"/>
      <c r="F33" s="2190"/>
      <c r="G33" s="2190"/>
      <c r="H33" s="2190"/>
      <c r="I33" s="2190"/>
      <c r="J33" s="2190"/>
      <c r="K33" s="2190"/>
      <c r="L33" s="2190"/>
      <c r="M33" s="2190"/>
      <c r="N33" s="2190"/>
      <c r="O33" s="2190"/>
    </row>
    <row r="34" spans="1:17" ht="14.25" customHeight="1">
      <c r="A34" s="2190"/>
      <c r="B34" s="2190"/>
      <c r="C34" s="2190"/>
      <c r="D34" s="2190"/>
      <c r="E34" s="2190"/>
      <c r="F34" s="2190"/>
      <c r="G34" s="2190"/>
      <c r="H34" s="2190"/>
      <c r="I34" s="2190"/>
      <c r="J34" s="2190"/>
      <c r="K34" s="2190"/>
      <c r="L34" s="2190"/>
      <c r="M34" s="2190"/>
      <c r="N34" s="2190"/>
      <c r="O34" s="2190"/>
    </row>
    <row r="35" spans="1:17" ht="14.25" customHeight="1">
      <c r="A35" s="2190"/>
      <c r="B35" s="2190"/>
      <c r="C35" s="2190"/>
      <c r="D35" s="2190"/>
      <c r="E35" s="2190"/>
      <c r="F35" s="2190"/>
      <c r="G35" s="2190"/>
      <c r="H35" s="2190"/>
      <c r="I35" s="2190"/>
      <c r="J35" s="2190"/>
      <c r="K35" s="2190"/>
      <c r="L35" s="2190"/>
      <c r="M35" s="2190"/>
      <c r="N35" s="2190"/>
      <c r="O35" s="2190"/>
    </row>
    <row r="36" spans="1:17" ht="14.25" customHeight="1">
      <c r="A36" s="2190"/>
      <c r="B36" s="2190"/>
      <c r="C36" s="2190"/>
      <c r="D36" s="2190"/>
      <c r="E36" s="2190"/>
      <c r="F36" s="2190"/>
      <c r="G36" s="2190"/>
      <c r="H36" s="2190"/>
      <c r="I36" s="2190"/>
      <c r="J36" s="2190"/>
      <c r="K36" s="2190"/>
      <c r="L36" s="2190"/>
      <c r="M36" s="2190"/>
      <c r="N36" s="2190"/>
      <c r="O36" s="2190"/>
    </row>
    <row r="37" spans="1:17" ht="14.25" customHeight="1">
      <c r="A37" s="2190"/>
      <c r="B37" s="2190"/>
      <c r="C37" s="2190"/>
      <c r="D37" s="2190"/>
      <c r="E37" s="2190"/>
      <c r="F37" s="2190"/>
      <c r="G37" s="2190"/>
      <c r="H37" s="2190"/>
      <c r="I37" s="2190"/>
      <c r="J37" s="2190"/>
      <c r="K37" s="2190"/>
      <c r="L37" s="2190"/>
      <c r="M37" s="2190"/>
      <c r="N37" s="2190"/>
      <c r="O37" s="2190"/>
    </row>
    <row r="38" spans="1:17" ht="14.25" customHeight="1">
      <c r="A38" s="2190"/>
      <c r="B38" s="2190"/>
      <c r="C38" s="2190"/>
      <c r="D38" s="2190"/>
      <c r="E38" s="2190"/>
      <c r="F38" s="2190"/>
      <c r="G38" s="2190"/>
      <c r="H38" s="2190"/>
      <c r="I38" s="2190"/>
      <c r="J38" s="2190"/>
      <c r="K38" s="2190"/>
      <c r="L38" s="2190"/>
      <c r="M38" s="2190"/>
      <c r="N38" s="2190"/>
      <c r="O38" s="2190"/>
    </row>
    <row r="39" spans="1:17" ht="14.25" customHeight="1">
      <c r="A39" s="2190"/>
      <c r="B39" s="2190"/>
      <c r="C39" s="2190"/>
      <c r="D39" s="2190"/>
      <c r="E39" s="2190"/>
      <c r="F39" s="2190"/>
      <c r="G39" s="2190"/>
      <c r="H39" s="2190"/>
      <c r="I39" s="2190"/>
      <c r="J39" s="2190"/>
      <c r="K39" s="2190"/>
      <c r="L39" s="2190"/>
      <c r="M39" s="2190"/>
      <c r="N39" s="2190"/>
      <c r="O39" s="2190"/>
    </row>
    <row r="40" spans="1:17" ht="14.25" customHeight="1">
      <c r="A40" s="2190"/>
      <c r="B40" s="2190"/>
      <c r="C40" s="2190"/>
      <c r="D40" s="2190"/>
      <c r="E40" s="2190"/>
      <c r="F40" s="2190"/>
      <c r="G40" s="2190"/>
      <c r="H40" s="2190"/>
      <c r="I40" s="2190"/>
      <c r="J40" s="2190"/>
      <c r="K40" s="2190"/>
      <c r="L40" s="2190"/>
      <c r="M40" s="2190"/>
      <c r="N40" s="2190"/>
      <c r="O40" s="2190"/>
    </row>
    <row r="41" spans="1:17" ht="14.25" customHeight="1">
      <c r="A41" s="2190"/>
      <c r="B41" s="2190"/>
      <c r="C41" s="2190"/>
      <c r="D41" s="2190"/>
      <c r="E41" s="2190"/>
      <c r="F41" s="2190"/>
      <c r="G41" s="2190"/>
      <c r="H41" s="2190"/>
      <c r="I41" s="2190"/>
      <c r="J41" s="2190"/>
      <c r="K41" s="2190"/>
      <c r="L41" s="2190"/>
      <c r="M41" s="2190"/>
      <c r="N41" s="2190"/>
      <c r="O41" s="2190"/>
    </row>
    <row r="42" spans="1:17" ht="14.25" customHeight="1">
      <c r="A42" s="2190"/>
      <c r="B42" s="2190"/>
      <c r="C42" s="2190"/>
      <c r="D42" s="2190"/>
      <c r="E42" s="2190"/>
      <c r="F42" s="2190"/>
      <c r="G42" s="2190"/>
      <c r="H42" s="2190"/>
      <c r="I42" s="2190"/>
      <c r="J42" s="2190"/>
      <c r="K42" s="2190"/>
      <c r="L42" s="2190"/>
      <c r="M42" s="2190"/>
      <c r="N42" s="2190"/>
      <c r="O42" s="2190"/>
    </row>
    <row r="43" spans="1:17" ht="14.25" customHeight="1">
      <c r="A43" s="2190"/>
      <c r="B43" s="2190"/>
      <c r="C43" s="2190"/>
      <c r="D43" s="2190"/>
      <c r="E43" s="2190"/>
      <c r="F43" s="2190"/>
      <c r="G43" s="2190"/>
      <c r="H43" s="2190"/>
      <c r="I43" s="2190"/>
      <c r="J43" s="2190"/>
      <c r="K43" s="2190"/>
      <c r="L43" s="2190"/>
      <c r="M43" s="2190"/>
      <c r="N43" s="2190"/>
      <c r="O43" s="2190"/>
    </row>
    <row r="44" spans="1:17" ht="67.5" customHeight="1">
      <c r="A44" s="2190"/>
      <c r="B44" s="2190"/>
      <c r="C44" s="2190"/>
      <c r="D44" s="2190"/>
      <c r="E44" s="2190"/>
      <c r="F44" s="2190"/>
      <c r="G44" s="2190"/>
      <c r="H44" s="2190"/>
      <c r="I44" s="2190"/>
      <c r="J44" s="2190"/>
      <c r="K44" s="2190"/>
      <c r="L44" s="2190"/>
      <c r="M44" s="2190"/>
      <c r="N44" s="2190"/>
      <c r="O44" s="2190"/>
    </row>
    <row r="45" spans="1:17" ht="112.5" customHeight="1">
      <c r="A45" s="2190"/>
      <c r="B45" s="2190"/>
      <c r="C45" s="2190"/>
      <c r="D45" s="2190"/>
      <c r="E45" s="2190"/>
      <c r="F45" s="2190"/>
      <c r="G45" s="2190"/>
      <c r="H45" s="2190"/>
      <c r="I45" s="2190"/>
      <c r="J45" s="2190"/>
      <c r="K45" s="2190"/>
      <c r="L45" s="2190"/>
      <c r="M45" s="2190"/>
      <c r="N45" s="2190"/>
      <c r="O45" s="2190"/>
      <c r="Q45" s="467"/>
    </row>
    <row r="46" spans="1:17">
      <c r="A46" s="2190"/>
      <c r="B46" s="2190"/>
      <c r="C46" s="2190"/>
      <c r="D46" s="2190"/>
      <c r="E46" s="2190"/>
      <c r="F46" s="2190"/>
      <c r="G46" s="2190"/>
      <c r="H46" s="2190"/>
      <c r="I46" s="2190"/>
      <c r="J46" s="2190"/>
      <c r="K46" s="2190"/>
      <c r="L46" s="2190"/>
      <c r="M46" s="2190"/>
      <c r="N46" s="2190"/>
      <c r="O46" s="2190"/>
    </row>
  </sheetData>
  <mergeCells count="1">
    <mergeCell ref="A5:O46"/>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pageSetUpPr fitToPage="1"/>
  </sheetPr>
  <dimension ref="A1:AL73"/>
  <sheetViews>
    <sheetView showGridLines="0" view="pageBreakPreview" zoomScale="55" zoomScaleNormal="85" zoomScaleSheetLayoutView="55" workbookViewId="0">
      <selection activeCell="V57" sqref="V57"/>
    </sheetView>
  </sheetViews>
  <sheetFormatPr defaultColWidth="11.42578125" defaultRowHeight="15"/>
  <cols>
    <col min="1" max="1" width="1.5703125" style="1478" customWidth="1"/>
    <col min="2" max="2" width="1.5703125" style="1479" customWidth="1"/>
    <col min="3" max="3" width="1.5703125" style="1480" customWidth="1"/>
    <col min="4" max="4" width="11.42578125" style="1481" hidden="1" customWidth="1"/>
    <col min="5" max="5" width="11.42578125" style="1481"/>
    <col min="6" max="6" width="15.28515625" style="1481" customWidth="1"/>
    <col min="7" max="7" width="18" style="1481" customWidth="1"/>
    <col min="8" max="8" width="14.28515625" style="1481" customWidth="1"/>
    <col min="9" max="10" width="11.42578125" style="1481"/>
    <col min="11" max="11" width="17.5703125" style="1481" customWidth="1"/>
    <col min="12" max="12" width="11.42578125" style="1481"/>
    <col min="13" max="13" width="18" style="1481" customWidth="1"/>
    <col min="14" max="14" width="16.7109375" style="1481" customWidth="1"/>
    <col min="15" max="15" width="11.42578125" style="1481"/>
    <col min="16" max="16" width="14.85546875" style="1481" customWidth="1"/>
    <col min="17" max="17" width="17.140625" style="1481" customWidth="1"/>
    <col min="18" max="18" width="18.140625" style="1481" customWidth="1"/>
    <col min="19" max="19" width="12.42578125" style="1481" customWidth="1"/>
    <col min="20" max="22" width="11.42578125" style="1481"/>
    <col min="23" max="23" width="16.28515625" style="1481" customWidth="1"/>
    <col min="24" max="24" width="16.7109375" style="1481" bestFit="1" customWidth="1"/>
    <col min="25" max="25" width="21.85546875" style="1481" customWidth="1"/>
    <col min="26" max="26" width="16.7109375" style="1481" bestFit="1" customWidth="1"/>
    <col min="27" max="27" width="14.85546875" style="1481" customWidth="1"/>
    <col min="28" max="29" width="11.42578125" style="1481"/>
    <col min="30" max="30" width="16.140625" style="1481" customWidth="1"/>
    <col min="31" max="31" width="24.42578125" style="1481" bestFit="1" customWidth="1"/>
    <col min="32" max="32" width="15.28515625" style="1481" customWidth="1"/>
    <col min="33" max="33" width="13.85546875" style="1481" customWidth="1"/>
    <col min="34" max="34" width="11.42578125" style="1481"/>
    <col min="35" max="35" width="29.42578125" style="1481" customWidth="1"/>
    <col min="36" max="36" width="27.42578125" style="1481" customWidth="1"/>
    <col min="37" max="37" width="19.28515625" style="1481" customWidth="1"/>
    <col min="38" max="38" width="18" style="1481" customWidth="1"/>
    <col min="39" max="16384" width="11.42578125" style="1481"/>
  </cols>
  <sheetData>
    <row r="1" spans="1:38" s="1476" customFormat="1" ht="45" customHeight="1">
      <c r="A1" s="1473"/>
      <c r="B1" s="1474"/>
      <c r="C1" s="1475"/>
      <c r="D1" s="1473"/>
      <c r="E1" s="2029" t="s">
        <v>255</v>
      </c>
      <c r="F1" s="2029"/>
      <c r="G1" s="2029"/>
      <c r="H1" s="2029"/>
      <c r="I1" s="2029"/>
      <c r="J1" s="2029"/>
      <c r="K1" s="2029"/>
      <c r="L1" s="2029"/>
      <c r="M1" s="2029"/>
      <c r="N1" s="2029"/>
      <c r="O1" s="2029"/>
      <c r="P1" s="2029"/>
      <c r="Q1" s="2029"/>
      <c r="R1" s="2029"/>
      <c r="S1" s="2029"/>
      <c r="AG1" s="1476" t="s">
        <v>256</v>
      </c>
    </row>
    <row r="2" spans="1:38" s="1476" customFormat="1" ht="50.25" customHeight="1">
      <c r="A2" s="1473"/>
      <c r="B2" s="1474"/>
      <c r="C2" s="1475"/>
      <c r="D2" s="1473"/>
      <c r="E2" s="2029" t="s">
        <v>257</v>
      </c>
      <c r="F2" s="2029"/>
      <c r="G2" s="2029"/>
      <c r="H2" s="2029"/>
      <c r="I2" s="2029"/>
      <c r="J2" s="2029"/>
      <c r="K2" s="2029"/>
      <c r="L2" s="2029"/>
      <c r="M2" s="2029"/>
      <c r="N2" s="2029"/>
      <c r="O2" s="2029"/>
      <c r="P2" s="2029"/>
      <c r="Q2" s="2029"/>
      <c r="R2" s="2029"/>
      <c r="S2" s="2029"/>
      <c r="AD2" s="2030" t="s">
        <v>258</v>
      </c>
      <c r="AE2" s="2030"/>
      <c r="AF2" s="2030"/>
      <c r="AG2" s="2030"/>
      <c r="AJ2" s="1477" t="s">
        <v>259</v>
      </c>
    </row>
    <row r="3" spans="1:38" ht="5.25" customHeight="1">
      <c r="D3" s="1478"/>
      <c r="E3" s="2031"/>
      <c r="F3" s="2031"/>
      <c r="G3" s="2031"/>
      <c r="H3" s="2031"/>
      <c r="I3" s="2031"/>
      <c r="J3" s="2031"/>
      <c r="K3" s="2031"/>
      <c r="L3" s="2031"/>
      <c r="M3" s="2031"/>
      <c r="N3" s="2031"/>
      <c r="O3" s="2031"/>
      <c r="P3" s="2031"/>
      <c r="Q3" s="2031"/>
      <c r="R3" s="2031"/>
      <c r="S3" s="2031"/>
      <c r="AD3" s="1482"/>
      <c r="AE3" s="1482"/>
      <c r="AF3" s="1482"/>
      <c r="AG3" s="1482"/>
      <c r="AJ3" s="1483"/>
    </row>
    <row r="4" spans="1:38" ht="18.75">
      <c r="D4" s="1478"/>
      <c r="E4" s="1479"/>
      <c r="F4" s="1479"/>
      <c r="G4" s="1479"/>
      <c r="H4" s="1479"/>
      <c r="I4" s="1479"/>
      <c r="J4" s="1479"/>
      <c r="K4" s="1479"/>
      <c r="L4" s="1479"/>
      <c r="M4" s="1479"/>
      <c r="N4" s="1479"/>
      <c r="O4" s="1479"/>
      <c r="P4" s="1479"/>
      <c r="Q4" s="1479"/>
      <c r="R4" s="1479"/>
      <c r="S4" s="1479"/>
      <c r="AD4" s="2032" t="s">
        <v>260</v>
      </c>
      <c r="AE4" s="2032"/>
      <c r="AF4" s="2032"/>
      <c r="AG4" s="2032"/>
      <c r="AI4" s="1484" t="s">
        <v>261</v>
      </c>
      <c r="AJ4" s="1485">
        <f>+AE6/AF6</f>
        <v>0.9905039754724323</v>
      </c>
      <c r="AK4" s="1486">
        <f>100*AJ4</f>
        <v>99.050397547243236</v>
      </c>
    </row>
    <row r="5" spans="1:38" ht="18.75">
      <c r="D5" s="1478"/>
      <c r="E5" s="1479"/>
      <c r="F5" s="1479"/>
      <c r="G5" s="1479"/>
      <c r="H5" s="1479"/>
      <c r="I5" s="1479"/>
      <c r="J5" s="1479"/>
      <c r="K5" s="1479"/>
      <c r="L5" s="1479"/>
      <c r="M5" s="1479"/>
      <c r="N5" s="1479"/>
      <c r="O5" s="1479"/>
      <c r="P5" s="1479"/>
      <c r="Q5" s="1479"/>
      <c r="R5" s="1479"/>
      <c r="S5" s="1479"/>
      <c r="AD5" s="1487" t="s">
        <v>262</v>
      </c>
      <c r="AE5" s="1487" t="s">
        <v>263</v>
      </c>
      <c r="AF5" s="1487" t="s">
        <v>239</v>
      </c>
      <c r="AG5" s="1487" t="s">
        <v>235</v>
      </c>
      <c r="AI5" s="1484" t="s">
        <v>264</v>
      </c>
      <c r="AJ5" s="1485">
        <f>+AF6/AE6</f>
        <v>1.0095870635178807</v>
      </c>
      <c r="AK5" s="1488">
        <f>100*AJ5</f>
        <v>100.95870635178808</v>
      </c>
    </row>
    <row r="6" spans="1:38">
      <c r="D6" s="1478"/>
      <c r="E6" s="1479"/>
      <c r="F6" s="1479"/>
      <c r="G6" s="1479"/>
      <c r="H6" s="1479"/>
      <c r="I6" s="1479"/>
      <c r="J6" s="1479"/>
      <c r="K6" s="1479"/>
      <c r="L6" s="1479"/>
      <c r="M6" s="1479"/>
      <c r="N6" s="1479"/>
      <c r="O6" s="1479"/>
      <c r="P6" s="1479"/>
      <c r="Q6" s="1479"/>
      <c r="R6" s="1479"/>
      <c r="S6" s="1479"/>
      <c r="AD6" s="1484" t="s">
        <v>265</v>
      </c>
      <c r="AE6" s="1484">
        <f>+AA20</f>
        <v>5195230</v>
      </c>
      <c r="AF6" s="1484">
        <f>+AA21</f>
        <v>5245037</v>
      </c>
      <c r="AG6" s="1484">
        <f>SUM(AE6:AF6)</f>
        <v>10440267</v>
      </c>
      <c r="AJ6" s="1489"/>
    </row>
    <row r="7" spans="1:38">
      <c r="D7" s="1478"/>
      <c r="E7" s="1479"/>
      <c r="F7" s="1479"/>
      <c r="G7" s="1479"/>
      <c r="H7" s="1479"/>
      <c r="I7" s="1479"/>
      <c r="J7" s="1479"/>
      <c r="K7" s="1479"/>
      <c r="L7" s="1479"/>
      <c r="M7" s="1479"/>
      <c r="N7" s="1479"/>
      <c r="O7" s="1479"/>
      <c r="P7" s="1479"/>
      <c r="Q7" s="1479"/>
      <c r="R7" s="1479"/>
      <c r="S7" s="1479"/>
      <c r="AD7" s="1490" t="s">
        <v>266</v>
      </c>
      <c r="AE7" s="1491">
        <f>+AE6/AG6</f>
        <v>0.49761466828386669</v>
      </c>
      <c r="AF7" s="1491">
        <f>+AF6/AG6</f>
        <v>0.50238533171613331</v>
      </c>
      <c r="AG7" s="1492">
        <f>SUM(AE7:AF7)</f>
        <v>1</v>
      </c>
    </row>
    <row r="8" spans="1:38">
      <c r="D8" s="1478"/>
      <c r="E8" s="1479"/>
      <c r="F8" s="1479"/>
      <c r="G8" s="1479"/>
      <c r="H8" s="1479"/>
      <c r="I8" s="1479"/>
      <c r="J8" s="1479"/>
      <c r="K8" s="1479"/>
      <c r="L8" s="1479"/>
      <c r="M8" s="1479"/>
      <c r="N8" s="1479"/>
      <c r="O8" s="1479"/>
      <c r="P8" s="1479"/>
      <c r="Q8" s="1479"/>
      <c r="R8" s="1479"/>
      <c r="S8" s="1479"/>
      <c r="AD8" s="1493"/>
      <c r="AE8" s="1494"/>
      <c r="AF8" s="1494"/>
      <c r="AG8" s="1495"/>
    </row>
    <row r="9" spans="1:38">
      <c r="D9" s="1478"/>
      <c r="E9" s="1479"/>
      <c r="F9" s="1479"/>
      <c r="G9" s="1479"/>
      <c r="H9" s="1479"/>
      <c r="I9" s="1479"/>
      <c r="J9" s="1479"/>
      <c r="K9" s="1479"/>
      <c r="L9" s="1479"/>
      <c r="M9" s="1479"/>
      <c r="N9" s="1479"/>
      <c r="O9" s="1479"/>
      <c r="P9" s="1479"/>
      <c r="Q9" s="1479"/>
      <c r="R9" s="1479"/>
      <c r="S9" s="1479"/>
      <c r="AD9" s="1493"/>
      <c r="AE9" s="1494"/>
      <c r="AF9" s="1494"/>
      <c r="AG9" s="1495"/>
    </row>
    <row r="10" spans="1:38">
      <c r="D10" s="1478"/>
      <c r="E10" s="1479"/>
      <c r="F10" s="1479"/>
      <c r="G10" s="1479"/>
      <c r="H10" s="1479"/>
      <c r="I10" s="1479"/>
      <c r="J10" s="1479"/>
      <c r="K10" s="1479"/>
      <c r="L10" s="1479"/>
      <c r="M10" s="1479"/>
      <c r="N10" s="1479"/>
      <c r="O10" s="1479"/>
      <c r="P10" s="1479"/>
      <c r="Q10" s="1479"/>
      <c r="R10" s="1479"/>
      <c r="S10" s="1479"/>
      <c r="AD10" s="1493"/>
      <c r="AE10" s="1494"/>
      <c r="AF10" s="1494"/>
      <c r="AG10" s="1495"/>
    </row>
    <row r="11" spans="1:38">
      <c r="D11" s="1478"/>
      <c r="E11" s="1479"/>
      <c r="F11" s="1479"/>
      <c r="G11" s="1479"/>
      <c r="H11" s="1479"/>
      <c r="I11" s="1479"/>
      <c r="J11" s="1479"/>
      <c r="K11" s="1479"/>
      <c r="L11" s="1479"/>
      <c r="M11" s="1479"/>
      <c r="N11" s="1479"/>
      <c r="O11" s="1479"/>
      <c r="P11" s="1479"/>
      <c r="Q11" s="1479"/>
      <c r="R11" s="1479"/>
      <c r="S11" s="1479"/>
    </row>
    <row r="12" spans="1:38">
      <c r="D12" s="1478"/>
      <c r="E12" s="1479"/>
      <c r="F12" s="1479"/>
      <c r="G12" s="1479"/>
      <c r="H12" s="1479"/>
      <c r="I12" s="1479"/>
      <c r="J12" s="1479"/>
      <c r="K12" s="1479"/>
      <c r="L12" s="1479"/>
      <c r="M12" s="1479"/>
      <c r="N12" s="1479"/>
      <c r="O12" s="1479"/>
      <c r="P12" s="1479"/>
      <c r="Q12" s="1479"/>
      <c r="R12" s="1479"/>
      <c r="S12" s="1479"/>
      <c r="AD12" s="2032" t="s">
        <v>267</v>
      </c>
      <c r="AE12" s="2032"/>
      <c r="AF12" s="2032"/>
      <c r="AG12" s="2032"/>
      <c r="AI12" s="2032" t="s">
        <v>268</v>
      </c>
      <c r="AJ12" s="2032"/>
      <c r="AK12" s="2032"/>
      <c r="AL12" s="2032"/>
    </row>
    <row r="13" spans="1:38">
      <c r="D13" s="1478"/>
      <c r="E13" s="1479"/>
      <c r="F13" s="1479"/>
      <c r="G13" s="1479"/>
      <c r="H13" s="1479"/>
      <c r="I13" s="1479"/>
      <c r="J13" s="1479"/>
      <c r="K13" s="1479"/>
      <c r="L13" s="1479"/>
      <c r="M13" s="1479"/>
      <c r="N13" s="1479"/>
      <c r="O13" s="1479"/>
      <c r="P13" s="1479"/>
      <c r="Q13" s="1479"/>
      <c r="R13" s="1479"/>
      <c r="S13" s="1479"/>
      <c r="AD13" s="1487" t="s">
        <v>262</v>
      </c>
      <c r="AE13" s="1487" t="s">
        <v>263</v>
      </c>
      <c r="AF13" s="1487" t="s">
        <v>239</v>
      </c>
      <c r="AG13" s="1487" t="s">
        <v>235</v>
      </c>
      <c r="AI13" s="1487" t="s">
        <v>262</v>
      </c>
      <c r="AJ13" s="1487" t="s">
        <v>263</v>
      </c>
      <c r="AK13" s="1487" t="s">
        <v>239</v>
      </c>
      <c r="AL13" s="1487" t="s">
        <v>235</v>
      </c>
    </row>
    <row r="14" spans="1:38" ht="30">
      <c r="D14" s="1478"/>
      <c r="E14" s="1479"/>
      <c r="F14" s="1479"/>
      <c r="G14" s="1479"/>
      <c r="H14" s="1479"/>
      <c r="I14" s="1479"/>
      <c r="J14" s="1479"/>
      <c r="K14" s="1479"/>
      <c r="L14" s="1479"/>
      <c r="M14" s="1479"/>
      <c r="N14" s="1479"/>
      <c r="O14" s="1479"/>
      <c r="P14" s="1479"/>
      <c r="Q14" s="1479"/>
      <c r="R14" s="1479"/>
      <c r="S14" s="1479"/>
      <c r="W14" s="2030" t="s">
        <v>230</v>
      </c>
      <c r="X14" s="2030"/>
      <c r="Y14" s="2030"/>
      <c r="Z14" s="2030"/>
      <c r="AD14" s="1484" t="s">
        <v>265</v>
      </c>
      <c r="AE14" s="1484">
        <f>+AA30</f>
        <v>2325321</v>
      </c>
      <c r="AF14" s="1484">
        <f>+AA31</f>
        <v>2341844</v>
      </c>
      <c r="AG14" s="1484">
        <f>SUM(AE14:AF14)</f>
        <v>4667165</v>
      </c>
      <c r="AI14" s="1484" t="s">
        <v>265</v>
      </c>
      <c r="AJ14" s="1484">
        <f>+Z41</f>
        <v>2869909</v>
      </c>
      <c r="AK14" s="1484">
        <f>+Z42</f>
        <v>2903193</v>
      </c>
      <c r="AL14" s="1484">
        <f>SUM(AJ14:AK14)</f>
        <v>5773102</v>
      </c>
    </row>
    <row r="15" spans="1:38" ht="30">
      <c r="D15" s="1478"/>
      <c r="E15" s="1479"/>
      <c r="F15" s="1479"/>
      <c r="G15" s="1479"/>
      <c r="H15" s="1479"/>
      <c r="I15" s="1479"/>
      <c r="J15" s="1479"/>
      <c r="K15" s="1479"/>
      <c r="L15" s="1479"/>
      <c r="M15" s="1479"/>
      <c r="N15" s="1479"/>
      <c r="O15" s="1479"/>
      <c r="P15" s="1479"/>
      <c r="Q15" s="1479"/>
      <c r="R15" s="1479"/>
      <c r="S15" s="1479"/>
      <c r="W15" s="1496" t="s">
        <v>231</v>
      </c>
      <c r="X15" s="1497" t="s">
        <v>232</v>
      </c>
      <c r="Y15" s="1497" t="s">
        <v>233</v>
      </c>
      <c r="Z15" s="1497" t="s">
        <v>234</v>
      </c>
      <c r="AA15" s="1497" t="s">
        <v>235</v>
      </c>
      <c r="AD15" s="1490" t="s">
        <v>266</v>
      </c>
      <c r="AE15" s="1491">
        <f>+AE14/AG14</f>
        <v>0.49822986759628168</v>
      </c>
      <c r="AF15" s="1491">
        <f>+AF14/AG14</f>
        <v>0.50177013240371837</v>
      </c>
      <c r="AG15" s="1492">
        <f>SUM(AE15:AF15)</f>
        <v>1</v>
      </c>
      <c r="AI15" s="1490" t="s">
        <v>266</v>
      </c>
      <c r="AJ15" s="1498">
        <f>+AJ14/AL14</f>
        <v>0.49711732098272299</v>
      </c>
      <c r="AK15" s="1498">
        <f>+AK14/AL14</f>
        <v>0.50288267901727701</v>
      </c>
      <c r="AL15" s="1499">
        <f>SUM(AJ15:AK15)</f>
        <v>1</v>
      </c>
    </row>
    <row r="16" spans="1:38">
      <c r="D16" s="1478"/>
      <c r="E16" s="1479"/>
      <c r="F16" s="1479"/>
      <c r="G16" s="1479"/>
      <c r="H16" s="1479"/>
      <c r="I16" s="1479"/>
      <c r="J16" s="1479"/>
      <c r="K16" s="1479"/>
      <c r="L16" s="1479"/>
      <c r="M16" s="1479"/>
      <c r="N16" s="1479"/>
      <c r="O16" s="1479"/>
      <c r="P16" s="1479"/>
      <c r="Q16" s="1479"/>
      <c r="R16" s="1479"/>
      <c r="S16" s="1479"/>
      <c r="W16" s="1496"/>
      <c r="X16" s="1497"/>
      <c r="Y16" s="1497"/>
      <c r="Z16" s="1497"/>
      <c r="AA16" s="1497"/>
      <c r="AD16" s="1493"/>
      <c r="AE16" s="1494"/>
      <c r="AF16" s="1494"/>
      <c r="AG16" s="1495"/>
      <c r="AI16" s="1493"/>
      <c r="AJ16" s="1575"/>
      <c r="AK16" s="1575"/>
      <c r="AL16" s="1576"/>
    </row>
    <row r="17" spans="4:38">
      <c r="D17" s="1478"/>
      <c r="E17" s="1479"/>
      <c r="F17" s="1479"/>
      <c r="G17" s="1479"/>
      <c r="H17" s="1479"/>
      <c r="I17" s="1479"/>
      <c r="J17" s="1479"/>
      <c r="K17" s="1479"/>
      <c r="L17" s="1479"/>
      <c r="M17" s="1479"/>
      <c r="N17" s="1479"/>
      <c r="O17" s="1479"/>
      <c r="P17" s="1479"/>
      <c r="Q17" s="1479"/>
      <c r="R17" s="1479"/>
      <c r="S17" s="1479"/>
      <c r="W17" s="1496"/>
      <c r="X17" s="1497"/>
      <c r="Y17" s="1497"/>
      <c r="Z17" s="1497"/>
      <c r="AA17" s="1497"/>
      <c r="AD17" s="1493"/>
      <c r="AE17" s="1494"/>
      <c r="AF17" s="1494"/>
      <c r="AG17" s="1495"/>
      <c r="AI17" s="1493"/>
      <c r="AJ17" s="1575"/>
      <c r="AK17" s="1575"/>
      <c r="AL17" s="1576"/>
    </row>
    <row r="18" spans="4:38">
      <c r="D18" s="1478"/>
      <c r="E18" s="1479"/>
      <c r="F18" s="1479"/>
      <c r="G18" s="1479"/>
      <c r="H18" s="1479"/>
      <c r="I18" s="1479"/>
      <c r="J18" s="1479"/>
      <c r="K18" s="1479"/>
      <c r="L18" s="1479"/>
      <c r="M18" s="1479"/>
      <c r="N18" s="1479"/>
      <c r="O18" s="1479"/>
      <c r="P18" s="1479"/>
      <c r="Q18" s="1479"/>
      <c r="R18" s="1479"/>
      <c r="S18" s="1479"/>
      <c r="W18" s="1496"/>
      <c r="X18" s="1497"/>
      <c r="Y18" s="1497"/>
      <c r="Z18" s="1497"/>
      <c r="AA18" s="1497"/>
      <c r="AD18" s="1493"/>
      <c r="AE18" s="1494"/>
      <c r="AF18" s="1494"/>
      <c r="AG18" s="1495"/>
      <c r="AI18" s="1493"/>
      <c r="AJ18" s="1575"/>
      <c r="AK18" s="1575"/>
      <c r="AL18" s="1576"/>
    </row>
    <row r="19" spans="4:38">
      <c r="D19" s="1478"/>
      <c r="E19" s="1479"/>
      <c r="F19" s="1479"/>
      <c r="G19" s="1479"/>
      <c r="H19" s="1479"/>
      <c r="I19" s="1479"/>
      <c r="J19" s="1479"/>
      <c r="K19" s="1479"/>
      <c r="L19" s="1479"/>
      <c r="M19" s="1479"/>
      <c r="N19" s="1479"/>
      <c r="O19" s="1479"/>
      <c r="P19" s="1479"/>
      <c r="Q19" s="1479"/>
      <c r="R19" s="1479"/>
      <c r="S19" s="1479"/>
      <c r="W19" s="1496"/>
      <c r="X19" s="1497"/>
      <c r="Y19" s="1497"/>
      <c r="Z19" s="1497"/>
      <c r="AA19" s="1497"/>
      <c r="AD19" s="1493"/>
      <c r="AE19" s="1494"/>
      <c r="AF19" s="1494"/>
      <c r="AG19" s="1495"/>
      <c r="AI19" s="1493"/>
      <c r="AJ19" s="1575"/>
      <c r="AK19" s="1575"/>
      <c r="AL19" s="1576"/>
    </row>
    <row r="20" spans="4:38">
      <c r="D20" s="1478"/>
      <c r="E20" s="1479"/>
      <c r="F20" s="1479"/>
      <c r="G20" s="1479"/>
      <c r="H20" s="1479"/>
      <c r="I20" s="1479"/>
      <c r="J20" s="1479"/>
      <c r="K20" s="1479"/>
      <c r="L20" s="1479"/>
      <c r="M20" s="1479"/>
      <c r="N20" s="1479"/>
      <c r="O20" s="1479"/>
      <c r="P20" s="1479"/>
      <c r="Q20" s="1479"/>
      <c r="R20" s="1479"/>
      <c r="S20" s="1479"/>
      <c r="W20" s="1500" t="s">
        <v>238</v>
      </c>
      <c r="X20" s="1501">
        <f>+X30+X41</f>
        <v>3601827</v>
      </c>
      <c r="Y20" s="1501">
        <f>+Y30+Y41</f>
        <v>1511264</v>
      </c>
      <c r="Z20" s="1501">
        <f>+Z30</f>
        <v>82139</v>
      </c>
      <c r="AA20" s="1501">
        <f>SUM(X20:Z20)</f>
        <v>5195230</v>
      </c>
      <c r="AE20" s="1489"/>
    </row>
    <row r="21" spans="4:38" ht="18.75">
      <c r="D21" s="1478"/>
      <c r="E21" s="1479"/>
      <c r="F21" s="1479"/>
      <c r="G21" s="1479"/>
      <c r="H21" s="1479"/>
      <c r="I21" s="1479"/>
      <c r="J21" s="1479"/>
      <c r="K21" s="1479"/>
      <c r="L21" s="1479"/>
      <c r="M21" s="1479"/>
      <c r="N21" s="1479"/>
      <c r="O21" s="1479"/>
      <c r="P21" s="1479"/>
      <c r="Q21" s="1479"/>
      <c r="R21" s="1479"/>
      <c r="S21" s="1479"/>
      <c r="W21" s="1500" t="s">
        <v>239</v>
      </c>
      <c r="X21" s="1501">
        <f>+X31+X42</f>
        <v>3398477</v>
      </c>
      <c r="Y21" s="1501">
        <f>+Y31+Y42</f>
        <v>1667680</v>
      </c>
      <c r="Z21" s="1501">
        <f>+Z31</f>
        <v>178880</v>
      </c>
      <c r="AA21" s="1501">
        <f>SUM(X21:Z21)</f>
        <v>5245037</v>
      </c>
      <c r="AE21" s="1484" t="s">
        <v>261</v>
      </c>
      <c r="AF21" s="1502">
        <f>+AE14/AF14</f>
        <v>0.99294444890436762</v>
      </c>
    </row>
    <row r="22" spans="4:38" ht="18.75">
      <c r="D22" s="1478"/>
      <c r="E22" s="1479"/>
      <c r="F22" s="1479"/>
      <c r="G22" s="1479"/>
      <c r="H22" s="1479"/>
      <c r="I22" s="1479"/>
      <c r="J22" s="1479"/>
      <c r="K22" s="1479"/>
      <c r="L22" s="1479"/>
      <c r="M22" s="1479"/>
      <c r="N22" s="1479"/>
      <c r="O22" s="1479"/>
      <c r="P22" s="1479"/>
      <c r="Q22" s="1479"/>
      <c r="R22" s="1479"/>
      <c r="S22" s="1479"/>
      <c r="W22" s="1500" t="s">
        <v>235</v>
      </c>
      <c r="X22" s="1503">
        <f>SUM(X20:X21)</f>
        <v>7000304</v>
      </c>
      <c r="Y22" s="1503">
        <f>SUM(Y20:Y21)</f>
        <v>3178944</v>
      </c>
      <c r="Z22" s="1503">
        <f>SUM(Z20:Z21)</f>
        <v>261019</v>
      </c>
      <c r="AA22" s="1503">
        <f>SUM(X22:Z22)</f>
        <v>10440267</v>
      </c>
      <c r="AE22" s="1484" t="s">
        <v>264</v>
      </c>
      <c r="AF22" s="1502">
        <f>+AF14/AE14</f>
        <v>1.0071056856236194</v>
      </c>
    </row>
    <row r="23" spans="4:38">
      <c r="D23" s="1478"/>
      <c r="E23" s="1479"/>
      <c r="F23" s="1479"/>
      <c r="G23" s="1479"/>
      <c r="H23" s="1479"/>
      <c r="I23" s="1479"/>
      <c r="J23" s="1479"/>
      <c r="K23" s="1479"/>
      <c r="L23" s="1479"/>
      <c r="M23" s="1479"/>
      <c r="N23" s="1479"/>
      <c r="O23" s="1479"/>
      <c r="P23" s="1479"/>
      <c r="Q23" s="1479"/>
      <c r="R23" s="1479"/>
      <c r="S23" s="1479"/>
      <c r="W23" s="1481" t="s">
        <v>240</v>
      </c>
    </row>
    <row r="24" spans="4:38">
      <c r="D24" s="1478"/>
      <c r="E24" s="1479"/>
      <c r="F24" s="1479"/>
      <c r="G24" s="1479"/>
      <c r="H24" s="1479"/>
      <c r="I24" s="1479"/>
      <c r="J24" s="1479"/>
      <c r="K24" s="1479"/>
      <c r="L24" s="1479"/>
      <c r="M24" s="1479"/>
      <c r="N24" s="1479"/>
      <c r="O24" s="1479"/>
      <c r="P24" s="1479"/>
      <c r="Q24" s="1479"/>
      <c r="R24" s="1479"/>
      <c r="S24" s="1479"/>
    </row>
    <row r="25" spans="4:38" ht="20.25">
      <c r="D25" s="1478"/>
      <c r="E25" s="1479"/>
      <c r="F25" s="1479"/>
      <c r="G25" s="1479"/>
      <c r="H25" s="1479"/>
      <c r="I25" s="1479"/>
      <c r="J25" s="1479"/>
      <c r="K25" s="1479"/>
      <c r="L25" s="1479"/>
      <c r="M25" s="1479"/>
      <c r="N25" s="1479"/>
      <c r="O25" s="1479"/>
      <c r="P25" s="1479"/>
      <c r="Q25" s="1479"/>
      <c r="R25" s="1479"/>
      <c r="S25" s="1479"/>
      <c r="AD25" s="2033" t="s">
        <v>258</v>
      </c>
      <c r="AE25" s="2033"/>
      <c r="AF25" s="2033"/>
      <c r="AG25" s="2033"/>
    </row>
    <row r="26" spans="4:38">
      <c r="D26" s="1478"/>
      <c r="E26" s="1479"/>
      <c r="F26" s="1479"/>
      <c r="G26" s="1479"/>
      <c r="H26" s="1479"/>
      <c r="I26" s="1479"/>
      <c r="J26" s="1479"/>
      <c r="K26" s="1479"/>
      <c r="L26" s="1479"/>
      <c r="M26" s="1479"/>
      <c r="N26" s="1479"/>
      <c r="O26" s="1479"/>
      <c r="P26" s="1479"/>
      <c r="Q26" s="1479"/>
      <c r="R26" s="1479"/>
      <c r="S26" s="1479"/>
    </row>
    <row r="27" spans="4:38">
      <c r="D27" s="1478"/>
      <c r="E27" s="1479"/>
      <c r="F27" s="1479"/>
      <c r="G27" s="1479"/>
      <c r="H27" s="1479"/>
      <c r="I27" s="1479"/>
      <c r="J27" s="1479"/>
      <c r="K27" s="1479"/>
      <c r="L27" s="1479"/>
      <c r="M27" s="1479"/>
      <c r="N27" s="1479"/>
      <c r="O27" s="1479"/>
      <c r="P27" s="1479"/>
      <c r="Q27" s="1479"/>
      <c r="R27" s="1479"/>
      <c r="S27" s="1479"/>
      <c r="AD27" s="2032" t="s">
        <v>269</v>
      </c>
      <c r="AE27" s="2032"/>
      <c r="AF27" s="2032"/>
      <c r="AG27" s="2032"/>
      <c r="AI27" s="2032" t="s">
        <v>270</v>
      </c>
      <c r="AJ27" s="2032"/>
      <c r="AK27" s="2032"/>
      <c r="AL27" s="2032"/>
    </row>
    <row r="28" spans="4:38" ht="30">
      <c r="D28" s="1478"/>
      <c r="E28" s="1479"/>
      <c r="F28" s="1479"/>
      <c r="G28" s="1479"/>
      <c r="H28" s="1479"/>
      <c r="I28" s="1479"/>
      <c r="J28" s="1479"/>
      <c r="K28" s="1479"/>
      <c r="L28" s="1479"/>
      <c r="M28" s="1479"/>
      <c r="N28" s="1479"/>
      <c r="O28" s="1479"/>
      <c r="P28" s="1479"/>
      <c r="Q28" s="1479"/>
      <c r="R28" s="1479"/>
      <c r="S28" s="1479"/>
      <c r="W28" s="2030" t="s">
        <v>241</v>
      </c>
      <c r="X28" s="2030"/>
      <c r="Y28" s="2030"/>
      <c r="Z28" s="2030"/>
      <c r="AD28" s="1487" t="s">
        <v>262</v>
      </c>
      <c r="AE28" s="1487" t="s">
        <v>263</v>
      </c>
      <c r="AF28" s="1487" t="s">
        <v>239</v>
      </c>
      <c r="AG28" s="1487" t="s">
        <v>235</v>
      </c>
      <c r="AI28" s="1487" t="s">
        <v>262</v>
      </c>
      <c r="AJ28" s="1487" t="s">
        <v>263</v>
      </c>
      <c r="AK28" s="1487" t="s">
        <v>239</v>
      </c>
      <c r="AL28" s="1487" t="s">
        <v>235</v>
      </c>
    </row>
    <row r="29" spans="4:38" ht="30">
      <c r="D29" s="1478"/>
      <c r="E29" s="1479"/>
      <c r="F29" s="1479"/>
      <c r="G29" s="1504"/>
      <c r="H29" s="1479"/>
      <c r="I29" s="1479"/>
      <c r="J29" s="1479"/>
      <c r="K29" s="1479"/>
      <c r="L29" s="1479"/>
      <c r="M29" s="1479"/>
      <c r="N29" s="1479"/>
      <c r="O29" s="1479"/>
      <c r="P29" s="1479"/>
      <c r="Q29" s="1479"/>
      <c r="R29" s="1479"/>
      <c r="S29" s="1479"/>
      <c r="W29" s="1496" t="s">
        <v>231</v>
      </c>
      <c r="X29" s="1497" t="s">
        <v>232</v>
      </c>
      <c r="Y29" s="1497" t="s">
        <v>233</v>
      </c>
      <c r="Z29" s="1497" t="s">
        <v>234</v>
      </c>
      <c r="AA29" s="1497" t="s">
        <v>243</v>
      </c>
      <c r="AD29" s="1484" t="s">
        <v>271</v>
      </c>
      <c r="AE29" s="1484">
        <v>1135646</v>
      </c>
      <c r="AF29" s="1484">
        <v>1048479</v>
      </c>
      <c r="AG29" s="1484">
        <f>SUM(AE29:AF29)</f>
        <v>2184125</v>
      </c>
      <c r="AI29" s="1484" t="s">
        <v>272</v>
      </c>
      <c r="AJ29" s="1484">
        <v>2832369</v>
      </c>
      <c r="AK29" s="1484">
        <v>2356358</v>
      </c>
      <c r="AL29" s="1484">
        <f>SUM(AJ29:AK29)</f>
        <v>5188727</v>
      </c>
    </row>
    <row r="30" spans="4:38">
      <c r="D30" s="1478"/>
      <c r="E30" s="1479"/>
      <c r="F30" s="1479"/>
      <c r="G30" s="1479"/>
      <c r="H30" s="1479"/>
      <c r="I30" s="1479"/>
      <c r="J30" s="1479"/>
      <c r="K30" s="1479"/>
      <c r="L30" s="1479"/>
      <c r="M30" s="1479"/>
      <c r="N30" s="1479"/>
      <c r="O30" s="1479"/>
      <c r="P30" s="1479"/>
      <c r="Q30" s="1479"/>
      <c r="R30" s="1479"/>
      <c r="S30" s="1479"/>
      <c r="W30" s="1500" t="s">
        <v>238</v>
      </c>
      <c r="X30" s="1501">
        <v>1208335</v>
      </c>
      <c r="Y30" s="1501">
        <v>1034847</v>
      </c>
      <c r="Z30" s="1501">
        <v>82139</v>
      </c>
      <c r="AA30" s="1505">
        <f>SUM(X30:Z30)</f>
        <v>2325321</v>
      </c>
      <c r="AD30" s="1490" t="s">
        <v>266</v>
      </c>
      <c r="AE30" s="1491">
        <f>+AE29/AG29</f>
        <v>0.51995467292393982</v>
      </c>
      <c r="AF30" s="1491">
        <f>+AF29/AG29</f>
        <v>0.48004532707606018</v>
      </c>
      <c r="AG30" s="1492">
        <f>SUM(AE30:AF30)</f>
        <v>1</v>
      </c>
      <c r="AI30" s="1490" t="s">
        <v>266</v>
      </c>
      <c r="AJ30" s="1498">
        <f>+AJ29/AL29</f>
        <v>0.54586972874078743</v>
      </c>
      <c r="AK30" s="1498">
        <f>+AK29/AL29</f>
        <v>0.45413027125921251</v>
      </c>
      <c r="AL30" s="1499">
        <f>SUM(AJ30:AK30)</f>
        <v>1</v>
      </c>
    </row>
    <row r="31" spans="4:38">
      <c r="D31" s="1478"/>
      <c r="E31" s="1479"/>
      <c r="F31" s="1479"/>
      <c r="G31" s="1479"/>
      <c r="H31" s="1479"/>
      <c r="I31" s="1479"/>
      <c r="J31" s="1479"/>
      <c r="K31" s="1479"/>
      <c r="L31" s="1479"/>
      <c r="M31" s="1479"/>
      <c r="N31" s="1479"/>
      <c r="O31" s="1479"/>
      <c r="P31" s="1479"/>
      <c r="Q31" s="1479"/>
      <c r="R31" s="1479"/>
      <c r="S31" s="1479"/>
      <c r="W31" s="1500" t="s">
        <v>239</v>
      </c>
      <c r="X31" s="1501">
        <v>928503</v>
      </c>
      <c r="Y31" s="1501">
        <v>1234461</v>
      </c>
      <c r="Z31" s="1501">
        <v>178880</v>
      </c>
      <c r="AA31" s="1505">
        <f>SUM(X31:Z31)</f>
        <v>2341844</v>
      </c>
    </row>
    <row r="32" spans="4:38">
      <c r="D32" s="1478"/>
      <c r="E32" s="1479"/>
      <c r="F32" s="1479"/>
      <c r="G32" s="1479"/>
      <c r="H32" s="1479"/>
      <c r="I32" s="1479"/>
      <c r="J32" s="1479"/>
      <c r="K32" s="1479"/>
      <c r="L32" s="1479"/>
      <c r="M32" s="1479"/>
      <c r="N32" s="1479"/>
      <c r="O32" s="1479"/>
      <c r="P32" s="1479"/>
      <c r="Q32" s="1479"/>
      <c r="R32" s="1479"/>
      <c r="S32" s="1479"/>
      <c r="W32" s="1500" t="s">
        <v>235</v>
      </c>
      <c r="X32" s="1503">
        <f>SUM(X30:X31)</f>
        <v>2136838</v>
      </c>
      <c r="Y32" s="1503">
        <f>SUM(Y30:Y31)</f>
        <v>2269308</v>
      </c>
      <c r="Z32" s="1503">
        <f>SUM(Z30:Z31)</f>
        <v>261019</v>
      </c>
      <c r="AA32" s="1505">
        <f>SUM(X32:Z32)</f>
        <v>4667165</v>
      </c>
    </row>
    <row r="33" spans="4:26">
      <c r="D33" s="1478"/>
      <c r="E33" s="1479"/>
      <c r="F33" s="1479"/>
      <c r="G33" s="1479"/>
      <c r="H33" s="1479"/>
      <c r="I33" s="1479"/>
      <c r="J33" s="1479"/>
      <c r="K33" s="1479"/>
      <c r="L33" s="1479"/>
      <c r="M33" s="1479"/>
      <c r="N33" s="1479"/>
      <c r="O33" s="1479"/>
      <c r="P33" s="1479"/>
      <c r="Q33" s="1479"/>
      <c r="R33" s="1479"/>
      <c r="S33" s="1479"/>
      <c r="W33" s="1481" t="str">
        <f>+W23</f>
        <v xml:space="preserve">Ene-jul. 24/ </v>
      </c>
    </row>
    <row r="34" spans="4:26">
      <c r="D34" s="1478"/>
      <c r="E34" s="1479"/>
      <c r="F34" s="1479"/>
      <c r="G34" s="1479"/>
      <c r="H34" s="1479"/>
      <c r="I34" s="1479"/>
      <c r="J34" s="1479"/>
      <c r="K34" s="1479"/>
      <c r="L34" s="1479"/>
      <c r="M34" s="1479"/>
      <c r="N34" s="1479"/>
      <c r="O34" s="1479"/>
      <c r="P34" s="1479"/>
      <c r="Q34" s="1479"/>
      <c r="R34" s="1479"/>
      <c r="S34" s="1479"/>
    </row>
    <row r="35" spans="4:26">
      <c r="D35" s="1478"/>
      <c r="E35" s="1479"/>
      <c r="F35" s="1479"/>
      <c r="G35" s="1479"/>
      <c r="H35" s="1479"/>
      <c r="I35" s="1479"/>
      <c r="J35" s="1479"/>
      <c r="K35" s="1479"/>
      <c r="L35" s="1479"/>
      <c r="M35" s="1479"/>
      <c r="N35" s="1479"/>
      <c r="O35" s="1479"/>
      <c r="P35" s="1479"/>
      <c r="Q35" s="1479"/>
      <c r="R35" s="1479"/>
      <c r="S35" s="1479"/>
    </row>
    <row r="36" spans="4:26">
      <c r="D36" s="1478"/>
      <c r="E36" s="1479"/>
      <c r="F36" s="1479"/>
      <c r="G36" s="1479"/>
      <c r="H36" s="1479"/>
      <c r="I36" s="1479"/>
      <c r="J36" s="1479"/>
      <c r="K36" s="1479"/>
      <c r="L36" s="1479"/>
      <c r="M36" s="1479"/>
      <c r="N36" s="1479"/>
      <c r="O36" s="1479"/>
      <c r="P36" s="1479"/>
      <c r="Q36" s="1479"/>
      <c r="R36" s="1479"/>
      <c r="S36" s="1479"/>
    </row>
    <row r="37" spans="4:26">
      <c r="D37" s="1478"/>
      <c r="E37" s="1479"/>
      <c r="F37" s="1479"/>
      <c r="G37" s="1479"/>
      <c r="H37" s="1479"/>
      <c r="I37" s="1479"/>
      <c r="J37" s="1479"/>
      <c r="K37" s="1479"/>
      <c r="L37" s="1479"/>
      <c r="M37" s="1479"/>
      <c r="N37" s="1479"/>
      <c r="O37" s="1479"/>
      <c r="P37" s="1479"/>
      <c r="Q37" s="1479"/>
      <c r="R37" s="1479"/>
      <c r="S37" s="1479"/>
    </row>
    <row r="38" spans="4:26">
      <c r="D38" s="1478"/>
      <c r="E38" s="1479"/>
      <c r="F38" s="1479"/>
      <c r="G38" s="1479"/>
      <c r="H38" s="1479"/>
      <c r="I38" s="1479"/>
      <c r="J38" s="1479"/>
      <c r="K38" s="1479"/>
      <c r="L38" s="1479"/>
      <c r="M38" s="1479"/>
      <c r="N38" s="1479"/>
      <c r="O38" s="1479"/>
      <c r="P38" s="1479"/>
      <c r="Q38" s="1479"/>
      <c r="R38" s="1479"/>
      <c r="S38" s="1479"/>
    </row>
    <row r="39" spans="4:26" ht="30">
      <c r="D39" s="1478"/>
      <c r="E39" s="1479"/>
      <c r="F39" s="1479"/>
      <c r="G39" s="1479"/>
      <c r="H39" s="1479"/>
      <c r="I39" s="1479"/>
      <c r="J39" s="1479"/>
      <c r="K39" s="1479"/>
      <c r="L39" s="1479"/>
      <c r="M39" s="1479"/>
      <c r="N39" s="1479"/>
      <c r="O39" s="1479"/>
      <c r="P39" s="1479"/>
      <c r="Q39" s="1479"/>
      <c r="R39" s="1479"/>
      <c r="S39" s="1479"/>
      <c r="W39" s="2030" t="s">
        <v>244</v>
      </c>
      <c r="X39" s="2030"/>
      <c r="Y39" s="2030"/>
      <c r="Z39" s="2030"/>
    </row>
    <row r="40" spans="4:26">
      <c r="D40" s="1478"/>
      <c r="E40" s="1479"/>
      <c r="F40" s="1479"/>
      <c r="G40" s="1479"/>
      <c r="H40" s="1479"/>
      <c r="I40" s="1479"/>
      <c r="J40" s="1479"/>
      <c r="K40" s="1479"/>
      <c r="L40" s="1479"/>
      <c r="M40" s="1479"/>
      <c r="N40" s="1479"/>
      <c r="O40" s="1479"/>
      <c r="P40" s="1479"/>
      <c r="Q40" s="1479"/>
      <c r="R40" s="1479"/>
      <c r="S40" s="1479"/>
      <c r="W40" s="1496" t="s">
        <v>231</v>
      </c>
      <c r="X40" s="1497" t="s">
        <v>232</v>
      </c>
      <c r="Y40" s="1497" t="s">
        <v>233</v>
      </c>
      <c r="Z40" s="1497" t="s">
        <v>235</v>
      </c>
    </row>
    <row r="41" spans="4:26">
      <c r="D41" s="1478"/>
      <c r="E41" s="1479"/>
      <c r="F41" s="1479"/>
      <c r="G41" s="1479"/>
      <c r="H41" s="1479"/>
      <c r="I41" s="1479"/>
      <c r="J41" s="1479"/>
      <c r="K41" s="1479"/>
      <c r="L41" s="1479"/>
      <c r="M41" s="1479"/>
      <c r="N41" s="1479"/>
      <c r="O41" s="1479"/>
      <c r="P41" s="1479"/>
      <c r="Q41" s="1479"/>
      <c r="R41" s="1479"/>
      <c r="S41" s="1479"/>
      <c r="W41" s="1500" t="s">
        <v>238</v>
      </c>
      <c r="X41" s="1501">
        <v>2393492</v>
      </c>
      <c r="Y41" s="1501">
        <v>476417</v>
      </c>
      <c r="Z41" s="1503">
        <f>SUM(X41:Y41)</f>
        <v>2869909</v>
      </c>
    </row>
    <row r="42" spans="4:26">
      <c r="D42" s="1478"/>
      <c r="E42" s="1479"/>
      <c r="F42" s="1479"/>
      <c r="G42" s="1479"/>
      <c r="H42" s="1479"/>
      <c r="I42" s="1479"/>
      <c r="J42" s="1479"/>
      <c r="K42" s="1479"/>
      <c r="L42" s="1479"/>
      <c r="M42" s="1479"/>
      <c r="N42" s="1479"/>
      <c r="O42" s="1479"/>
      <c r="P42" s="1479"/>
      <c r="Q42" s="1479"/>
      <c r="R42" s="1479"/>
      <c r="S42" s="1479"/>
      <c r="W42" s="1500" t="s">
        <v>239</v>
      </c>
      <c r="X42" s="1501">
        <v>2469974</v>
      </c>
      <c r="Y42" s="1501">
        <v>433219</v>
      </c>
      <c r="Z42" s="1503">
        <f>SUM(X42:Y42)</f>
        <v>2903193</v>
      </c>
    </row>
    <row r="43" spans="4:26">
      <c r="D43" s="1478"/>
      <c r="E43" s="1479"/>
      <c r="F43" s="1479"/>
      <c r="G43" s="1479"/>
      <c r="H43" s="1479"/>
      <c r="I43" s="1479"/>
      <c r="J43" s="1479"/>
      <c r="K43" s="1479"/>
      <c r="L43" s="1479"/>
      <c r="M43" s="1479"/>
      <c r="N43" s="1479"/>
      <c r="O43" s="1479"/>
      <c r="P43" s="1479"/>
      <c r="Q43" s="1479"/>
      <c r="R43" s="1479"/>
      <c r="S43" s="1479"/>
      <c r="W43" s="1500" t="s">
        <v>235</v>
      </c>
      <c r="X43" s="1503">
        <f>SUM(X41:X42)</f>
        <v>4863466</v>
      </c>
      <c r="Y43" s="1503">
        <f>SUM(Y41:Y42)</f>
        <v>909636</v>
      </c>
      <c r="Z43" s="1503">
        <f>SUM(X43:Y43)</f>
        <v>5773102</v>
      </c>
    </row>
    <row r="44" spans="4:26">
      <c r="D44" s="1478"/>
      <c r="E44" s="1479"/>
      <c r="F44" s="1479"/>
      <c r="G44" s="1479"/>
      <c r="H44" s="1479"/>
      <c r="I44" s="1479"/>
      <c r="J44" s="1479"/>
      <c r="K44" s="1479"/>
      <c r="L44" s="1479"/>
      <c r="M44" s="1479"/>
      <c r="N44" s="1479"/>
      <c r="O44" s="1479"/>
      <c r="P44" s="1479"/>
      <c r="Q44" s="1479"/>
      <c r="R44" s="1479"/>
      <c r="S44" s="1479"/>
      <c r="W44" s="1481" t="str">
        <f>+W33</f>
        <v xml:space="preserve">Ene-jul. 24/ </v>
      </c>
    </row>
    <row r="45" spans="4:26">
      <c r="D45" s="1478"/>
      <c r="E45" s="1479"/>
      <c r="F45" s="1479"/>
      <c r="G45" s="1479"/>
      <c r="H45" s="1479"/>
      <c r="I45" s="1479"/>
      <c r="J45" s="1479"/>
      <c r="K45" s="1479"/>
      <c r="L45" s="1479"/>
      <c r="M45" s="1479"/>
      <c r="N45" s="1479"/>
      <c r="O45" s="1479"/>
      <c r="P45" s="1479"/>
      <c r="Q45" s="1479"/>
      <c r="R45" s="1479"/>
      <c r="S45" s="1479"/>
    </row>
    <row r="46" spans="4:26">
      <c r="D46" s="1478"/>
      <c r="E46" s="1479"/>
      <c r="F46" s="1479"/>
      <c r="G46" s="1479"/>
      <c r="H46" s="1479"/>
      <c r="I46" s="1479"/>
      <c r="J46" s="1479"/>
      <c r="K46" s="1479"/>
      <c r="L46" s="1479"/>
      <c r="M46" s="1479"/>
      <c r="N46" s="1479"/>
      <c r="O46" s="1479"/>
      <c r="P46" s="1479"/>
      <c r="Q46" s="1479"/>
      <c r="R46" s="1479"/>
      <c r="S46" s="1479"/>
    </row>
    <row r="47" spans="4:26">
      <c r="D47" s="1478"/>
      <c r="E47" s="1479"/>
      <c r="F47" s="1479"/>
      <c r="G47" s="1479"/>
      <c r="H47" s="1479"/>
      <c r="I47" s="1479"/>
      <c r="J47" s="1479"/>
      <c r="K47" s="1479"/>
      <c r="L47" s="1479"/>
      <c r="M47" s="1479"/>
      <c r="N47" s="1479"/>
      <c r="O47" s="1479"/>
      <c r="P47" s="1479"/>
      <c r="Q47" s="1479"/>
      <c r="R47" s="1479"/>
      <c r="S47" s="1479"/>
    </row>
    <row r="48" spans="4:26">
      <c r="D48" s="1478"/>
      <c r="E48" s="1479"/>
      <c r="F48" s="1479"/>
      <c r="G48" s="1479"/>
      <c r="H48" s="1479"/>
      <c r="I48" s="1479"/>
      <c r="J48" s="1479"/>
      <c r="K48" s="1479"/>
      <c r="L48" s="1479"/>
      <c r="M48" s="1479"/>
      <c r="N48" s="1479"/>
      <c r="O48" s="1479"/>
      <c r="P48" s="1479"/>
      <c r="Q48" s="1479"/>
      <c r="R48" s="1479"/>
      <c r="S48" s="1479"/>
    </row>
    <row r="49" spans="4:29">
      <c r="D49" s="1478"/>
      <c r="E49" s="1479"/>
      <c r="F49" s="1479"/>
      <c r="G49" s="1479"/>
      <c r="H49" s="1479"/>
      <c r="I49" s="1479"/>
      <c r="J49" s="1479"/>
      <c r="K49" s="1479"/>
      <c r="L49" s="1479"/>
      <c r="M49" s="1479"/>
      <c r="N49" s="1479"/>
      <c r="O49" s="1479"/>
      <c r="P49" s="1479"/>
      <c r="Q49" s="1479"/>
      <c r="R49" s="1479"/>
      <c r="S49" s="1479"/>
    </row>
    <row r="50" spans="4:29">
      <c r="D50" s="1478"/>
      <c r="E50" s="1479"/>
      <c r="F50" s="1479"/>
      <c r="G50" s="1479"/>
      <c r="H50" s="1479"/>
      <c r="I50" s="1479"/>
      <c r="J50" s="1479"/>
      <c r="K50" s="1479"/>
      <c r="L50" s="1479"/>
      <c r="M50" s="1479"/>
      <c r="N50" s="1479"/>
      <c r="O50" s="1479"/>
      <c r="P50" s="1479"/>
      <c r="Q50" s="1479"/>
      <c r="R50" s="1479"/>
      <c r="S50" s="1479"/>
    </row>
    <row r="51" spans="4:29">
      <c r="D51" s="1478"/>
      <c r="E51" s="1479"/>
      <c r="F51" s="1479"/>
      <c r="G51" s="1479"/>
      <c r="H51" s="1479"/>
      <c r="I51" s="1479"/>
      <c r="J51" s="1479"/>
      <c r="K51" s="1479"/>
      <c r="L51" s="1479"/>
      <c r="M51" s="1479"/>
      <c r="N51" s="1479"/>
      <c r="O51" s="1479"/>
      <c r="P51" s="1479"/>
      <c r="Q51" s="1479"/>
      <c r="R51" s="1479"/>
      <c r="S51" s="1479"/>
    </row>
    <row r="52" spans="4:29">
      <c r="D52" s="1478"/>
      <c r="E52" s="1479"/>
      <c r="F52" s="1479"/>
      <c r="G52" s="1479"/>
      <c r="H52" s="1479"/>
      <c r="I52" s="1479"/>
      <c r="J52" s="1479"/>
      <c r="K52" s="1479"/>
      <c r="L52" s="1479"/>
      <c r="M52" s="1479"/>
      <c r="N52" s="1479"/>
      <c r="O52" s="1479"/>
      <c r="P52" s="1479"/>
      <c r="Q52" s="1479"/>
      <c r="R52" s="1479"/>
      <c r="S52" s="1479"/>
    </row>
    <row r="53" spans="4:29">
      <c r="D53" s="1478"/>
      <c r="E53" s="1479"/>
      <c r="F53" s="1479"/>
      <c r="G53" s="1479"/>
      <c r="H53" s="1479"/>
      <c r="I53" s="1479"/>
      <c r="J53" s="1479"/>
      <c r="K53" s="1479"/>
      <c r="L53" s="1479"/>
      <c r="M53" s="1479"/>
      <c r="N53" s="1479"/>
      <c r="O53" s="1479"/>
      <c r="P53" s="1479"/>
      <c r="Q53" s="1479"/>
      <c r="R53" s="1479"/>
      <c r="S53" s="1479"/>
    </row>
    <row r="54" spans="4:29" ht="30">
      <c r="D54" s="1478"/>
      <c r="E54" s="1479"/>
      <c r="F54" s="1479"/>
      <c r="G54" s="1479"/>
      <c r="H54" s="1479"/>
      <c r="I54" s="1479"/>
      <c r="J54" s="1479"/>
      <c r="K54" s="1479"/>
      <c r="L54" s="1479"/>
      <c r="M54" s="1479"/>
      <c r="N54" s="1479"/>
      <c r="O54" s="1479"/>
      <c r="P54" s="1479"/>
      <c r="Q54" s="1479"/>
      <c r="R54" s="1479"/>
      <c r="S54" s="1479"/>
      <c r="V54" s="2030"/>
      <c r="W54" s="2030"/>
      <c r="X54" s="2030"/>
      <c r="Y54" s="2030"/>
    </row>
    <row r="55" spans="4:29">
      <c r="D55" s="1478"/>
      <c r="E55" s="1479"/>
      <c r="F55" s="1479"/>
      <c r="G55" s="1479"/>
      <c r="H55" s="1479"/>
      <c r="I55" s="1479"/>
      <c r="J55" s="1479"/>
      <c r="K55" s="1479"/>
      <c r="L55" s="1479"/>
      <c r="M55" s="1479"/>
      <c r="N55" s="1479"/>
      <c r="O55" s="1479"/>
      <c r="P55" s="1479"/>
      <c r="Q55" s="1479"/>
      <c r="R55" s="1479"/>
      <c r="S55" s="1479"/>
    </row>
    <row r="56" spans="4:29">
      <c r="D56" s="1478"/>
      <c r="E56" s="1479"/>
      <c r="F56" s="1479"/>
      <c r="G56" s="1479"/>
      <c r="H56" s="1479"/>
      <c r="I56" s="1479"/>
      <c r="J56" s="1479"/>
      <c r="K56" s="1479"/>
      <c r="L56" s="1479"/>
      <c r="M56" s="1479"/>
      <c r="N56" s="1479"/>
      <c r="O56" s="1479"/>
      <c r="P56" s="1479"/>
      <c r="Q56" s="1479"/>
      <c r="R56" s="1479"/>
      <c r="S56" s="1479"/>
    </row>
    <row r="57" spans="4:29" ht="16.5">
      <c r="D57" s="1478"/>
      <c r="E57" s="1479"/>
      <c r="F57" s="1479"/>
      <c r="G57" s="1479"/>
      <c r="H57" s="1479"/>
      <c r="I57" s="1479"/>
      <c r="J57" s="1479"/>
      <c r="K57" s="1479"/>
      <c r="L57" s="1479"/>
      <c r="M57" s="1479"/>
      <c r="N57" s="1479"/>
      <c r="O57" s="1479"/>
      <c r="P57" s="1479"/>
      <c r="Q57" s="1479"/>
      <c r="R57" s="1479"/>
      <c r="S57" s="1479"/>
      <c r="X57" s="1506">
        <v>2024</v>
      </c>
      <c r="Y57" s="1506" t="s">
        <v>273</v>
      </c>
      <c r="Z57" s="1507" t="s">
        <v>274</v>
      </c>
      <c r="AA57" s="1508">
        <v>2466473</v>
      </c>
      <c r="AB57" s="1508">
        <v>1323518</v>
      </c>
      <c r="AC57" s="1508">
        <v>1142955</v>
      </c>
    </row>
    <row r="58" spans="4:29" ht="16.5">
      <c r="D58" s="1478"/>
      <c r="E58" s="1479"/>
      <c r="F58" s="1479"/>
      <c r="G58" s="1479"/>
      <c r="H58" s="1479"/>
      <c r="I58" s="1479"/>
      <c r="J58" s="1479"/>
      <c r="K58" s="1479"/>
      <c r="L58" s="1479"/>
      <c r="M58" s="1479"/>
      <c r="N58" s="1479"/>
      <c r="O58" s="1479"/>
      <c r="P58" s="1479"/>
      <c r="Q58" s="1479"/>
      <c r="R58" s="1479"/>
      <c r="S58" s="1479"/>
      <c r="X58" s="1509"/>
      <c r="Y58" s="1509"/>
      <c r="Z58" s="1510" t="s">
        <v>275</v>
      </c>
      <c r="AA58" s="1511">
        <v>42939</v>
      </c>
      <c r="AB58" s="1511">
        <v>25220</v>
      </c>
      <c r="AC58" s="1512">
        <v>17719</v>
      </c>
    </row>
    <row r="59" spans="4:29" ht="16.5">
      <c r="D59" s="1478"/>
      <c r="E59" s="1479"/>
      <c r="F59" s="1479"/>
      <c r="G59" s="1479"/>
      <c r="H59" s="1479"/>
      <c r="I59" s="1479"/>
      <c r="J59" s="1479"/>
      <c r="K59" s="1479"/>
      <c r="L59" s="1479"/>
      <c r="M59" s="1479"/>
      <c r="N59" s="1479"/>
      <c r="O59" s="1479"/>
      <c r="P59" s="1479"/>
      <c r="Q59" s="1479"/>
      <c r="R59" s="1479"/>
      <c r="S59" s="1479"/>
      <c r="X59" s="1513"/>
      <c r="Y59" s="1513"/>
      <c r="Z59" s="1514" t="s">
        <v>276</v>
      </c>
      <c r="AA59" s="1515">
        <v>293718</v>
      </c>
      <c r="AB59" s="1515">
        <v>159384</v>
      </c>
      <c r="AC59" s="1516">
        <v>134334</v>
      </c>
    </row>
    <row r="60" spans="4:29" ht="16.5">
      <c r="D60" s="1478"/>
      <c r="E60" s="1479"/>
      <c r="F60" s="1479"/>
      <c r="G60" s="1479"/>
      <c r="H60" s="1479"/>
      <c r="I60" s="1479"/>
      <c r="J60" s="1479"/>
      <c r="K60" s="1479"/>
      <c r="L60" s="1479"/>
      <c r="M60" s="1479"/>
      <c r="N60" s="1479"/>
      <c r="O60" s="1479"/>
      <c r="P60" s="1479"/>
      <c r="Q60" s="1479"/>
      <c r="R60" s="1479"/>
      <c r="S60" s="1479"/>
      <c r="X60" s="1513"/>
      <c r="Y60" s="1513"/>
      <c r="Z60" s="1514" t="s">
        <v>277</v>
      </c>
      <c r="AA60" s="1515">
        <v>366442</v>
      </c>
      <c r="AB60" s="1515">
        <v>191027</v>
      </c>
      <c r="AC60" s="1516">
        <v>175415</v>
      </c>
    </row>
    <row r="61" spans="4:29" ht="16.5">
      <c r="D61" s="1478"/>
      <c r="E61" s="1479"/>
      <c r="F61" s="1479"/>
      <c r="G61" s="1479"/>
      <c r="H61" s="1479"/>
      <c r="I61" s="1479"/>
      <c r="J61" s="1479"/>
      <c r="K61" s="1479"/>
      <c r="L61" s="1479"/>
      <c r="M61" s="1479"/>
      <c r="N61" s="1479"/>
      <c r="O61" s="1479"/>
      <c r="P61" s="1479"/>
      <c r="Q61" s="1479"/>
      <c r="R61" s="1479"/>
      <c r="S61" s="1479"/>
      <c r="X61" s="1513"/>
      <c r="Y61" s="1513"/>
      <c r="Z61" s="1514" t="s">
        <v>278</v>
      </c>
      <c r="AA61" s="1515">
        <v>382999</v>
      </c>
      <c r="AB61" s="1515">
        <v>198814</v>
      </c>
      <c r="AC61" s="1516">
        <v>184185</v>
      </c>
    </row>
    <row r="62" spans="4:29" ht="16.5">
      <c r="D62" s="1478"/>
      <c r="E62" s="1479"/>
      <c r="F62" s="1479"/>
      <c r="G62" s="1479"/>
      <c r="H62" s="1479"/>
      <c r="I62" s="1479"/>
      <c r="J62" s="1479"/>
      <c r="K62" s="1479"/>
      <c r="L62" s="1479"/>
      <c r="M62" s="1479"/>
      <c r="N62" s="1479"/>
      <c r="O62" s="1479"/>
      <c r="P62" s="1479"/>
      <c r="Q62" s="1479"/>
      <c r="R62" s="1479"/>
      <c r="S62" s="1479"/>
      <c r="X62" s="1513"/>
      <c r="Y62" s="1513"/>
      <c r="Z62" s="1514" t="s">
        <v>279</v>
      </c>
      <c r="AA62" s="1515">
        <v>317711</v>
      </c>
      <c r="AB62" s="1515">
        <v>164975</v>
      </c>
      <c r="AC62" s="1516">
        <v>152736</v>
      </c>
    </row>
    <row r="63" spans="4:29" ht="16.5">
      <c r="X63" s="1513"/>
      <c r="Y63" s="1513"/>
      <c r="Z63" s="1514" t="s">
        <v>280</v>
      </c>
      <c r="AA63" s="1515">
        <v>284294</v>
      </c>
      <c r="AB63" s="1515">
        <v>149825</v>
      </c>
      <c r="AC63" s="1516">
        <v>134469</v>
      </c>
    </row>
    <row r="64" spans="4:29" ht="16.5">
      <c r="X64" s="1513"/>
      <c r="Y64" s="1513"/>
      <c r="Z64" s="1514" t="s">
        <v>281</v>
      </c>
      <c r="AA64" s="1515">
        <v>232597</v>
      </c>
      <c r="AB64" s="1515">
        <v>124810</v>
      </c>
      <c r="AC64" s="1516">
        <v>107787</v>
      </c>
    </row>
    <row r="65" spans="24:29" ht="16.5">
      <c r="X65" s="1513"/>
      <c r="Y65" s="1513"/>
      <c r="Z65" s="1514" t="s">
        <v>282</v>
      </c>
      <c r="AA65" s="1515">
        <v>189207</v>
      </c>
      <c r="AB65" s="1515">
        <v>104560</v>
      </c>
      <c r="AC65" s="1516">
        <v>84647</v>
      </c>
    </row>
    <row r="66" spans="24:29" ht="16.5">
      <c r="X66" s="1513"/>
      <c r="Y66" s="1513"/>
      <c r="Z66" s="1514" t="s">
        <v>283</v>
      </c>
      <c r="AA66" s="1515">
        <v>148544</v>
      </c>
      <c r="AB66" s="1515">
        <v>82686</v>
      </c>
      <c r="AC66" s="1516">
        <v>65858</v>
      </c>
    </row>
    <row r="67" spans="24:29" ht="16.5">
      <c r="X67" s="1513"/>
      <c r="Y67" s="1513"/>
      <c r="Z67" s="1514" t="s">
        <v>284</v>
      </c>
      <c r="AA67" s="1515">
        <v>97617</v>
      </c>
      <c r="AB67" s="1515">
        <v>55977</v>
      </c>
      <c r="AC67" s="1516">
        <v>41640</v>
      </c>
    </row>
    <row r="68" spans="24:29" ht="16.5">
      <c r="X68" s="1513"/>
      <c r="Y68" s="1513"/>
      <c r="Z68" s="1514" t="s">
        <v>285</v>
      </c>
      <c r="AA68" s="1515">
        <v>54805</v>
      </c>
      <c r="AB68" s="1515">
        <v>33005</v>
      </c>
      <c r="AC68" s="1516">
        <v>21800</v>
      </c>
    </row>
    <row r="69" spans="24:29" ht="16.5">
      <c r="X69" s="1513"/>
      <c r="Y69" s="1513"/>
      <c r="Z69" s="1514" t="s">
        <v>286</v>
      </c>
      <c r="AA69" s="1515">
        <v>30035</v>
      </c>
      <c r="AB69" s="1515">
        <v>18276</v>
      </c>
      <c r="AC69" s="1516">
        <v>11759</v>
      </c>
    </row>
    <row r="70" spans="24:29" ht="16.5">
      <c r="X70" s="1513"/>
      <c r="Y70" s="1513"/>
      <c r="Z70" s="1514" t="s">
        <v>287</v>
      </c>
      <c r="AA70" s="1515">
        <v>14642</v>
      </c>
      <c r="AB70" s="1515">
        <v>8717</v>
      </c>
      <c r="AC70" s="1516">
        <v>5925</v>
      </c>
    </row>
    <row r="71" spans="24:29" ht="16.5">
      <c r="X71" s="1513"/>
      <c r="Y71" s="1513"/>
      <c r="Z71" s="1514" t="s">
        <v>288</v>
      </c>
      <c r="AA71" s="1515">
        <v>6633</v>
      </c>
      <c r="AB71" s="1515">
        <v>3854</v>
      </c>
      <c r="AC71" s="1516">
        <v>2779</v>
      </c>
    </row>
    <row r="72" spans="24:29" ht="16.5">
      <c r="X72" s="1513"/>
      <c r="Y72" s="1513"/>
      <c r="Z72" s="1517" t="s">
        <v>289</v>
      </c>
      <c r="AA72" s="1518">
        <v>4288</v>
      </c>
      <c r="AB72" s="1518">
        <v>2386</v>
      </c>
      <c r="AC72" s="1519">
        <v>1902</v>
      </c>
    </row>
    <row r="73" spans="24:29" ht="33">
      <c r="X73" s="1520"/>
      <c r="Y73" s="1520"/>
      <c r="Z73" s="1521" t="s">
        <v>290</v>
      </c>
      <c r="AA73" s="1522">
        <v>2</v>
      </c>
      <c r="AB73" s="1522">
        <v>2</v>
      </c>
      <c r="AC73" s="1523">
        <v>0</v>
      </c>
    </row>
  </sheetData>
  <mergeCells count="14">
    <mergeCell ref="W39:Z39"/>
    <mergeCell ref="V54:Y54"/>
    <mergeCell ref="AI12:AL12"/>
    <mergeCell ref="W14:Z14"/>
    <mergeCell ref="AD25:AG25"/>
    <mergeCell ref="AD27:AG27"/>
    <mergeCell ref="AI27:AL27"/>
    <mergeCell ref="W28:Z28"/>
    <mergeCell ref="AD12:AG12"/>
    <mergeCell ref="E1:S1"/>
    <mergeCell ref="E2:S2"/>
    <mergeCell ref="AD2:AG2"/>
    <mergeCell ref="E3:S3"/>
    <mergeCell ref="AD4:AG4"/>
  </mergeCells>
  <pageMargins left="0.7" right="1.02" top="0.75" bottom="0.75" header="0.3" footer="0.3"/>
  <pageSetup scale="38" orientation="portrait" r:id="rId1"/>
  <colBreaks count="1" manualBreakCount="1">
    <brk id="8" max="80" man="1"/>
  </col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07">
    <tabColor theme="6" tint="-0.499984740745262"/>
    <pageSetUpPr fitToPage="1"/>
  </sheetPr>
  <dimension ref="A3:T34"/>
  <sheetViews>
    <sheetView showGridLines="0" view="pageBreakPreview" zoomScale="85" zoomScaleNormal="100" zoomScaleSheetLayoutView="85" workbookViewId="0">
      <selection activeCell="A6" sqref="A6"/>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 min="14" max="14" width="20" customWidth="1"/>
    <col min="15" max="15" width="24.7109375" style="40" customWidth="1"/>
    <col min="16" max="16" width="17.85546875" bestFit="1" customWidth="1"/>
  </cols>
  <sheetData>
    <row r="3" spans="1:20">
      <c r="O3" s="252"/>
      <c r="P3" s="253"/>
      <c r="Q3" s="253"/>
      <c r="R3" s="253"/>
      <c r="S3" s="253"/>
      <c r="T3" s="253"/>
    </row>
    <row r="4" spans="1:20">
      <c r="O4" s="253"/>
      <c r="P4" s="253"/>
      <c r="Q4" s="253"/>
      <c r="R4" s="253"/>
      <c r="S4" s="253"/>
      <c r="T4" s="253"/>
    </row>
    <row r="5" spans="1:20" ht="18.75" customHeight="1">
      <c r="O5" s="253"/>
      <c r="P5" s="253"/>
      <c r="Q5" s="253"/>
      <c r="R5" s="253"/>
      <c r="S5" s="253"/>
      <c r="T5" s="253"/>
    </row>
    <row r="6" spans="1:20" ht="15" customHeight="1">
      <c r="A6" s="2327" t="s">
        <v>1090</v>
      </c>
      <c r="B6" s="2327"/>
      <c r="C6" s="2327"/>
      <c r="D6" s="2327"/>
      <c r="E6" s="2327"/>
      <c r="F6" s="2327"/>
      <c r="G6" s="2327"/>
      <c r="H6" s="2327"/>
      <c r="I6" s="2327"/>
      <c r="J6" s="2327"/>
      <c r="K6" s="2327"/>
      <c r="L6" s="2327"/>
      <c r="M6" s="148"/>
      <c r="O6" s="253"/>
      <c r="P6" s="253"/>
      <c r="Q6" s="253"/>
      <c r="R6" s="253"/>
      <c r="S6" s="253"/>
      <c r="T6" s="253"/>
    </row>
    <row r="7" spans="1:20" ht="15" customHeight="1">
      <c r="A7" s="2327"/>
      <c r="B7" s="2327"/>
      <c r="C7" s="2327"/>
      <c r="D7" s="2327"/>
      <c r="E7" s="2327"/>
      <c r="F7" s="2327"/>
      <c r="G7" s="2327"/>
      <c r="H7" s="2327"/>
      <c r="I7" s="2327"/>
      <c r="J7" s="2327"/>
      <c r="K7" s="2327"/>
      <c r="L7" s="2327"/>
      <c r="M7" s="148"/>
      <c r="O7" s="253"/>
      <c r="P7" s="253"/>
      <c r="Q7" s="253"/>
      <c r="R7" s="253"/>
      <c r="S7" s="253"/>
      <c r="T7" s="253"/>
    </row>
    <row r="8" spans="1:20" ht="15" customHeight="1">
      <c r="A8" s="2327"/>
      <c r="B8" s="2327"/>
      <c r="C8" s="2327"/>
      <c r="D8" s="2327"/>
      <c r="E8" s="2327"/>
      <c r="F8" s="2327"/>
      <c r="G8" s="2327"/>
      <c r="H8" s="2327"/>
      <c r="I8" s="2327"/>
      <c r="J8" s="2327"/>
      <c r="K8" s="2327"/>
      <c r="L8" s="2327"/>
      <c r="M8" s="148"/>
      <c r="O8" s="253"/>
      <c r="P8" s="253"/>
      <c r="Q8" s="253"/>
      <c r="R8" s="253"/>
      <c r="S8" s="253"/>
      <c r="T8" s="253"/>
    </row>
    <row r="9" spans="1:20" ht="15" customHeight="1">
      <c r="A9" s="2327"/>
      <c r="B9" s="2327"/>
      <c r="C9" s="2327"/>
      <c r="D9" s="2327"/>
      <c r="E9" s="2327"/>
      <c r="F9" s="2327"/>
      <c r="G9" s="2327"/>
      <c r="H9" s="2327"/>
      <c r="I9" s="2327"/>
      <c r="J9" s="2327"/>
      <c r="K9" s="2327"/>
      <c r="L9" s="2327"/>
      <c r="M9" s="148"/>
      <c r="O9" s="253"/>
      <c r="P9" s="253"/>
      <c r="Q9" s="253"/>
      <c r="R9" s="253"/>
      <c r="S9" s="253"/>
      <c r="T9" s="253"/>
    </row>
    <row r="10" spans="1:20" ht="15" customHeight="1">
      <c r="A10" s="2327"/>
      <c r="B10" s="2327"/>
      <c r="C10" s="2327"/>
      <c r="D10" s="2327"/>
      <c r="E10" s="2327"/>
      <c r="F10" s="2327"/>
      <c r="G10" s="2327"/>
      <c r="H10" s="2327"/>
      <c r="I10" s="2327"/>
      <c r="J10" s="2327"/>
      <c r="K10" s="2327"/>
      <c r="L10" s="2327"/>
      <c r="M10" s="148"/>
      <c r="O10" s="253"/>
      <c r="P10" s="253"/>
      <c r="Q10" s="253"/>
      <c r="R10" s="253"/>
      <c r="S10" s="253"/>
      <c r="T10" s="253"/>
    </row>
    <row r="11" spans="1:20" ht="38.25" customHeight="1">
      <c r="A11" s="2327"/>
      <c r="B11" s="2327"/>
      <c r="C11" s="2327"/>
      <c r="D11" s="2327"/>
      <c r="E11" s="2327"/>
      <c r="F11" s="2327"/>
      <c r="G11" s="2327"/>
      <c r="H11" s="2327"/>
      <c r="I11" s="2327"/>
      <c r="J11" s="2327"/>
      <c r="K11" s="2327"/>
      <c r="L11" s="2327"/>
      <c r="M11" s="148"/>
      <c r="O11" s="253"/>
      <c r="P11" s="253"/>
      <c r="Q11" s="253"/>
      <c r="R11" s="253"/>
      <c r="S11" s="253"/>
      <c r="T11" s="253"/>
    </row>
    <row r="12" spans="1:20" ht="15" customHeight="1">
      <c r="A12" s="2327"/>
      <c r="B12" s="2327"/>
      <c r="C12" s="2327"/>
      <c r="D12" s="2327"/>
      <c r="E12" s="2327"/>
      <c r="F12" s="2327"/>
      <c r="G12" s="2327"/>
      <c r="H12" s="2327"/>
      <c r="I12" s="2327"/>
      <c r="J12" s="2327"/>
      <c r="K12" s="2327"/>
      <c r="L12" s="2327"/>
      <c r="M12" s="148"/>
      <c r="O12" s="253"/>
      <c r="P12" s="253"/>
      <c r="Q12" s="253"/>
      <c r="R12" s="253"/>
      <c r="S12" s="253"/>
      <c r="T12" s="253"/>
    </row>
    <row r="13" spans="1:20" ht="15" customHeight="1">
      <c r="A13" s="2327"/>
      <c r="B13" s="2327"/>
      <c r="C13" s="2327"/>
      <c r="D13" s="2327"/>
      <c r="E13" s="2327"/>
      <c r="F13" s="2327"/>
      <c r="G13" s="2327"/>
      <c r="H13" s="2327"/>
      <c r="I13" s="2327"/>
      <c r="J13" s="2327"/>
      <c r="K13" s="2327"/>
      <c r="L13" s="2327"/>
      <c r="M13" s="148"/>
      <c r="O13" s="253"/>
      <c r="P13" s="253"/>
      <c r="Q13" s="253"/>
      <c r="R13" s="253"/>
      <c r="S13" s="253"/>
      <c r="T13" s="253"/>
    </row>
    <row r="14" spans="1:20" ht="41.25" customHeight="1">
      <c r="A14" s="2327"/>
      <c r="B14" s="2327"/>
      <c r="C14" s="2327"/>
      <c r="D14" s="2327"/>
      <c r="E14" s="2327"/>
      <c r="F14" s="2327"/>
      <c r="G14" s="2327"/>
      <c r="H14" s="2327"/>
      <c r="I14" s="2327"/>
      <c r="J14" s="2327"/>
      <c r="K14" s="2327"/>
      <c r="L14" s="2327"/>
      <c r="M14" s="148"/>
      <c r="O14" s="253"/>
      <c r="P14" s="253"/>
      <c r="Q14" s="253"/>
      <c r="R14" s="253"/>
      <c r="S14" s="253"/>
      <c r="T14" s="253"/>
    </row>
    <row r="15" spans="1:20" ht="41.25" customHeight="1">
      <c r="A15" s="2327"/>
      <c r="B15" s="2327"/>
      <c r="C15" s="2327"/>
      <c r="D15" s="2327"/>
      <c r="E15" s="2327"/>
      <c r="F15" s="2327"/>
      <c r="G15" s="2327"/>
      <c r="H15" s="2327"/>
      <c r="I15" s="2327"/>
      <c r="J15" s="2327"/>
      <c r="K15" s="2327"/>
      <c r="L15" s="2327"/>
      <c r="M15" s="148"/>
      <c r="O15" s="253"/>
      <c r="P15" s="253"/>
      <c r="Q15" s="253"/>
      <c r="R15" s="253"/>
      <c r="S15" s="253"/>
      <c r="T15" s="253"/>
    </row>
    <row r="16" spans="1:20" ht="15" customHeight="1">
      <c r="A16" s="2327"/>
      <c r="B16" s="2327"/>
      <c r="C16" s="2327"/>
      <c r="D16" s="2327"/>
      <c r="E16" s="2327"/>
      <c r="F16" s="2327"/>
      <c r="G16" s="2327"/>
      <c r="H16" s="2327"/>
      <c r="I16" s="2327"/>
      <c r="J16" s="2327"/>
      <c r="K16" s="2327"/>
      <c r="L16" s="2327"/>
      <c r="M16" s="148"/>
      <c r="O16" s="253"/>
      <c r="P16" s="253"/>
      <c r="Q16" s="253"/>
      <c r="R16" s="253"/>
      <c r="S16" s="253"/>
      <c r="T16" s="253"/>
    </row>
    <row r="17" spans="1:20" ht="15" customHeight="1">
      <c r="A17" s="2327"/>
      <c r="B17" s="2327"/>
      <c r="C17" s="2327"/>
      <c r="D17" s="2327"/>
      <c r="E17" s="2327"/>
      <c r="F17" s="2327"/>
      <c r="G17" s="2327"/>
      <c r="H17" s="2327"/>
      <c r="I17" s="2327"/>
      <c r="J17" s="2327"/>
      <c r="K17" s="2327"/>
      <c r="L17" s="2327"/>
      <c r="M17" s="148"/>
      <c r="O17" s="253"/>
      <c r="P17" s="253"/>
      <c r="Q17" s="253"/>
      <c r="R17" s="253"/>
      <c r="S17" s="253"/>
      <c r="T17" s="253"/>
    </row>
    <row r="18" spans="1:20" ht="15" customHeight="1">
      <c r="A18" s="2327"/>
      <c r="B18" s="2327"/>
      <c r="C18" s="2327"/>
      <c r="D18" s="2327"/>
      <c r="E18" s="2327"/>
      <c r="F18" s="2327"/>
      <c r="G18" s="2327"/>
      <c r="H18" s="2327"/>
      <c r="I18" s="2327"/>
      <c r="J18" s="2327"/>
      <c r="K18" s="2327"/>
      <c r="L18" s="2327"/>
      <c r="M18" s="148"/>
      <c r="O18" s="253"/>
      <c r="P18" s="253"/>
      <c r="Q18" s="253"/>
      <c r="R18" s="253"/>
      <c r="S18" s="253"/>
      <c r="T18" s="253"/>
    </row>
    <row r="19" spans="1:20" ht="30.75" customHeight="1">
      <c r="A19" s="2327"/>
      <c r="B19" s="2327"/>
      <c r="C19" s="2327"/>
      <c r="D19" s="2327"/>
      <c r="E19" s="2327"/>
      <c r="F19" s="2327"/>
      <c r="G19" s="2327"/>
      <c r="H19" s="2327"/>
      <c r="I19" s="2327"/>
      <c r="J19" s="2327"/>
      <c r="K19" s="2327"/>
      <c r="L19" s="2327"/>
      <c r="M19" s="148"/>
      <c r="N19" s="233" t="str">
        <f>+' V.2.2.Benef. subsid '!A3</f>
        <v>Tipo de Subsidio</v>
      </c>
      <c r="O19" s="254" t="s">
        <v>235</v>
      </c>
      <c r="P19" s="253"/>
      <c r="Q19" s="253"/>
      <c r="R19" s="253"/>
      <c r="S19" s="253"/>
      <c r="T19" s="253"/>
    </row>
    <row r="20" spans="1:20" ht="15" customHeight="1">
      <c r="A20" s="2327"/>
      <c r="B20" s="2327"/>
      <c r="C20" s="2327"/>
      <c r="D20" s="2327"/>
      <c r="E20" s="2327"/>
      <c r="F20" s="2327"/>
      <c r="G20" s="2327"/>
      <c r="H20" s="2327"/>
      <c r="I20" s="2327"/>
      <c r="J20" s="2327"/>
      <c r="K20" s="2327"/>
      <c r="L20" s="2327"/>
      <c r="M20" s="148"/>
      <c r="N20" s="232" t="str">
        <f>+' V.2.2.Benef. subsid '!A4</f>
        <v>Enfermedad Común</v>
      </c>
      <c r="O20" s="254" t="e">
        <f>+' V.2.2.Benef. subsid '!#REF!</f>
        <v>#REF!</v>
      </c>
      <c r="P20" s="254">
        <f>+' V.2.2.Benef. subsid '!H4</f>
        <v>126126</v>
      </c>
    </row>
    <row r="21" spans="1:20" ht="15" customHeight="1">
      <c r="A21" s="2327"/>
      <c r="B21" s="2327"/>
      <c r="C21" s="2327"/>
      <c r="D21" s="2327"/>
      <c r="E21" s="2327"/>
      <c r="F21" s="2327"/>
      <c r="G21" s="2327"/>
      <c r="H21" s="2327"/>
      <c r="I21" s="2327"/>
      <c r="J21" s="2327"/>
      <c r="K21" s="2327"/>
      <c r="L21" s="2327"/>
      <c r="M21" s="148"/>
      <c r="N21" s="232" t="str">
        <f>+' V.2.2.Benef. subsid '!A5</f>
        <v xml:space="preserve">Lactancia </v>
      </c>
      <c r="O21" s="254" t="e">
        <f>+' V.2.2.Benef. subsid '!#REF!</f>
        <v>#REF!</v>
      </c>
      <c r="P21" s="254">
        <f>+' V.2.2.Benef. subsid '!H5</f>
        <v>24007</v>
      </c>
    </row>
    <row r="22" spans="1:20" ht="15" customHeight="1">
      <c r="A22" s="2327"/>
      <c r="B22" s="2327"/>
      <c r="C22" s="2327"/>
      <c r="D22" s="2327"/>
      <c r="E22" s="2327"/>
      <c r="F22" s="2327"/>
      <c r="G22" s="2327"/>
      <c r="H22" s="2327"/>
      <c r="I22" s="2327"/>
      <c r="J22" s="2327"/>
      <c r="K22" s="2327"/>
      <c r="L22" s="2327"/>
      <c r="M22" s="148"/>
      <c r="N22" s="232" t="str">
        <f>+' V.2.2.Benef. subsid '!A6</f>
        <v>Maternidad</v>
      </c>
      <c r="O22" s="254" t="e">
        <f>+' V.2.2.Benef. subsid '!#REF!</f>
        <v>#REF!</v>
      </c>
      <c r="P22" s="254">
        <f>+' V.2.2.Benef. subsid '!H6</f>
        <v>27713</v>
      </c>
    </row>
    <row r="23" spans="1:20" ht="15" customHeight="1">
      <c r="A23" s="2327"/>
      <c r="B23" s="2327"/>
      <c r="C23" s="2327"/>
      <c r="D23" s="2327"/>
      <c r="E23" s="2327"/>
      <c r="F23" s="2327"/>
      <c r="G23" s="2327"/>
      <c r="H23" s="2327"/>
      <c r="I23" s="2327"/>
      <c r="J23" s="2327"/>
      <c r="K23" s="2327"/>
      <c r="L23" s="2327"/>
      <c r="M23" s="148"/>
      <c r="N23" s="233" t="str">
        <f>+' V.2.2.Benef. subsid '!A7</f>
        <v>Total</v>
      </c>
      <c r="O23" s="254" t="e">
        <f>+' V.2.2.Benef. subsid '!#REF!</f>
        <v>#REF!</v>
      </c>
      <c r="P23">
        <f>+' V.2.2.Benef. subsid '!H7</f>
        <v>177846</v>
      </c>
    </row>
    <row r="24" spans="1:20" ht="56.25" customHeight="1">
      <c r="A24" s="2327"/>
      <c r="B24" s="2327"/>
      <c r="C24" s="2327"/>
      <c r="D24" s="2327"/>
      <c r="E24" s="2327"/>
      <c r="F24" s="2327"/>
      <c r="G24" s="2327"/>
      <c r="H24" s="2327"/>
      <c r="I24" s="2327"/>
      <c r="J24" s="2327"/>
      <c r="K24" s="2327"/>
      <c r="L24" s="2327"/>
      <c r="M24" s="148"/>
      <c r="N24" s="56"/>
      <c r="O24" s="112"/>
    </row>
    <row r="25" spans="1:20" ht="15" customHeight="1">
      <c r="A25" s="2327"/>
      <c r="B25" s="2327"/>
      <c r="C25" s="2327"/>
      <c r="D25" s="2327"/>
      <c r="E25" s="2327"/>
      <c r="F25" s="2327"/>
      <c r="G25" s="2327"/>
      <c r="H25" s="2327"/>
      <c r="I25" s="2327"/>
      <c r="J25" s="2327"/>
      <c r="K25" s="2327"/>
      <c r="L25" s="2327"/>
      <c r="M25" s="148"/>
    </row>
    <row r="26" spans="1:20" ht="15" customHeight="1">
      <c r="A26" s="2327"/>
      <c r="B26" s="2327"/>
      <c r="C26" s="2327"/>
      <c r="D26" s="2327"/>
      <c r="E26" s="2327"/>
      <c r="F26" s="2327"/>
      <c r="G26" s="2327"/>
      <c r="H26" s="2327"/>
      <c r="I26" s="2327"/>
      <c r="J26" s="2327"/>
      <c r="K26" s="2327"/>
      <c r="L26" s="2327"/>
      <c r="M26" s="148"/>
      <c r="N26" s="233" t="str">
        <f>+'V.2.3. Monto subsid.'!A3</f>
        <v>Tipo de Subsidio</v>
      </c>
      <c r="O26" s="234" t="e">
        <f>+#REF!</f>
        <v>#REF!</v>
      </c>
      <c r="P26" s="234" t="str">
        <f>+'V.2.3. Monto subsid.'!J3</f>
        <v>Total</v>
      </c>
    </row>
    <row r="27" spans="1:20" ht="15" customHeight="1">
      <c r="A27" s="2327"/>
      <c r="B27" s="2327"/>
      <c r="C27" s="2327"/>
      <c r="D27" s="2327"/>
      <c r="E27" s="2327"/>
      <c r="F27" s="2327"/>
      <c r="G27" s="2327"/>
      <c r="H27" s="2327"/>
      <c r="I27" s="2327"/>
      <c r="J27" s="2327"/>
      <c r="K27" s="2327"/>
      <c r="L27" s="2327"/>
      <c r="M27" s="148"/>
      <c r="N27" s="232" t="str">
        <f>+'V.2.3. Monto subsid.'!A4</f>
        <v>Enfermedad Común</v>
      </c>
      <c r="O27" s="444">
        <f>+'V.2.3. Monto subsid.'!J4</f>
        <v>5709817204.8140526</v>
      </c>
      <c r="P27" s="255">
        <f>+'V.2.3. Monto subsid.'!J4</f>
        <v>5709817204.8140526</v>
      </c>
    </row>
    <row r="28" spans="1:20" ht="15" customHeight="1">
      <c r="A28" s="2327"/>
      <c r="B28" s="2327"/>
      <c r="C28" s="2327"/>
      <c r="D28" s="2327"/>
      <c r="E28" s="2327"/>
      <c r="F28" s="2327"/>
      <c r="G28" s="2327"/>
      <c r="H28" s="2327"/>
      <c r="I28" s="2327"/>
      <c r="J28" s="2327"/>
      <c r="K28" s="2327"/>
      <c r="L28" s="2327"/>
      <c r="M28" s="148"/>
      <c r="N28" s="232" t="str">
        <f>+'V.2.3. Monto subsid.'!A5</f>
        <v xml:space="preserve">Lactancia </v>
      </c>
      <c r="O28" s="444">
        <f>+'V.2.3. Monto subsid.'!J5</f>
        <v>4389446772.125596</v>
      </c>
      <c r="P28" s="255">
        <f>+'V.2.3. Monto subsid.'!J5</f>
        <v>4389446772.125596</v>
      </c>
    </row>
    <row r="29" spans="1:20" ht="15" customHeight="1">
      <c r="A29" s="2327"/>
      <c r="B29" s="2327"/>
      <c r="C29" s="2327"/>
      <c r="D29" s="2327"/>
      <c r="E29" s="2327"/>
      <c r="F29" s="2327"/>
      <c r="G29" s="2327"/>
      <c r="H29" s="2327"/>
      <c r="I29" s="2327"/>
      <c r="J29" s="2327"/>
      <c r="K29" s="2327"/>
      <c r="L29" s="2327"/>
      <c r="M29" s="148"/>
      <c r="N29" s="232" t="str">
        <f>+'V.2.3. Monto subsid.'!A6</f>
        <v>Maternidad</v>
      </c>
      <c r="O29" s="444">
        <f>+'V.2.3. Monto subsid.'!J6</f>
        <v>14765768587.372002</v>
      </c>
      <c r="P29" s="255">
        <f>+'V.2.3. Monto subsid.'!J6</f>
        <v>14765768587.372002</v>
      </c>
    </row>
    <row r="30" spans="1:20" ht="18.75">
      <c r="A30" s="2327"/>
      <c r="B30" s="2327"/>
      <c r="C30" s="2327"/>
      <c r="D30" s="2327"/>
      <c r="E30" s="2327"/>
      <c r="F30" s="2327"/>
      <c r="G30" s="2327"/>
      <c r="H30" s="2327"/>
      <c r="I30" s="2327"/>
      <c r="J30" s="2327"/>
      <c r="K30" s="2327"/>
      <c r="L30" s="2327"/>
      <c r="M30" s="148"/>
      <c r="N30" s="233" t="str">
        <f>+'V.2.3. Monto subsid.'!A7</f>
        <v>Total</v>
      </c>
      <c r="O30" s="444">
        <f>+'V.2.3. Monto subsid.'!J7</f>
        <v>24865032564.311649</v>
      </c>
      <c r="P30" s="255">
        <f>+'V.2.3. Monto subsid.'!J7</f>
        <v>24865032564.311649</v>
      </c>
    </row>
    <row r="31" spans="1:20" ht="18.75">
      <c r="A31" s="2327"/>
      <c r="B31" s="2327"/>
      <c r="C31" s="2327"/>
      <c r="D31" s="2327"/>
      <c r="E31" s="2327"/>
      <c r="F31" s="2327"/>
      <c r="G31" s="2327"/>
      <c r="H31" s="2327"/>
      <c r="I31" s="2327"/>
      <c r="J31" s="2327"/>
      <c r="K31" s="2327"/>
      <c r="L31" s="2327"/>
      <c r="M31" s="148"/>
    </row>
    <row r="34" spans="14:14">
      <c r="N34" s="56"/>
    </row>
  </sheetData>
  <mergeCells count="1">
    <mergeCell ref="A6:L31"/>
  </mergeCells>
  <pageMargins left="0.70866141732283472" right="0.70866141732283472" top="0.74803149606299213" bottom="0.74803149606299213" header="0.31496062992125984" footer="0.31496062992125984"/>
  <pageSetup paperSize="119" scale="8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08">
    <tabColor theme="6" tint="-0.499984740745262"/>
    <pageSetUpPr fitToPage="1"/>
  </sheetPr>
  <dimension ref="A1:U12"/>
  <sheetViews>
    <sheetView showGridLines="0" view="pageBreakPreview" zoomScaleNormal="100" zoomScaleSheetLayoutView="100" workbookViewId="0">
      <selection activeCell="L19" sqref="L19"/>
    </sheetView>
  </sheetViews>
  <sheetFormatPr defaultColWidth="11.5703125" defaultRowHeight="14.25"/>
  <cols>
    <col min="1" max="1" width="22.5703125" style="307" customWidth="1"/>
    <col min="2" max="7" width="17" style="337" customWidth="1"/>
    <col min="8" max="9" width="17" style="428" customWidth="1"/>
    <col min="10" max="10" width="11.5703125" style="307"/>
    <col min="11" max="11" width="22.28515625" style="307" customWidth="1"/>
    <col min="12" max="19" width="11.5703125" style="307" customWidth="1"/>
    <col min="20" max="16384" width="11.5703125" style="307"/>
  </cols>
  <sheetData>
    <row r="1" spans="1:21" s="541" customFormat="1" ht="61.5" customHeight="1">
      <c r="A1" s="2328" t="s">
        <v>1091</v>
      </c>
      <c r="B1" s="2329"/>
      <c r="C1" s="2329"/>
      <c r="D1" s="2329"/>
      <c r="E1" s="2329"/>
      <c r="F1" s="2329"/>
      <c r="G1" s="2329"/>
      <c r="H1" s="2329"/>
      <c r="I1" s="2329"/>
    </row>
    <row r="2" spans="1:21" ht="11.25" customHeight="1">
      <c r="A2" s="423"/>
      <c r="B2" s="424"/>
      <c r="C2" s="424"/>
      <c r="D2" s="424"/>
      <c r="E2" s="424"/>
      <c r="F2" s="424"/>
      <c r="G2" s="424"/>
      <c r="H2" s="425"/>
      <c r="I2" s="425"/>
    </row>
    <row r="3" spans="1:21" s="554" customFormat="1" ht="18" customHeight="1">
      <c r="A3" s="553" t="s">
        <v>1092</v>
      </c>
      <c r="B3" s="621" t="s">
        <v>447</v>
      </c>
      <c r="C3" s="621" t="s">
        <v>448</v>
      </c>
      <c r="D3" s="621" t="s">
        <v>449</v>
      </c>
      <c r="E3" s="621" t="s">
        <v>450</v>
      </c>
      <c r="F3" s="621" t="s">
        <v>451</v>
      </c>
      <c r="G3" s="621" t="s">
        <v>452</v>
      </c>
      <c r="H3" s="621" t="s">
        <v>453</v>
      </c>
      <c r="I3" s="621" t="s">
        <v>454</v>
      </c>
    </row>
    <row r="4" spans="1:21" ht="13.5" customHeight="1">
      <c r="A4" s="622" t="s">
        <v>1093</v>
      </c>
      <c r="B4" s="623">
        <v>74609</v>
      </c>
      <c r="C4" s="623">
        <v>89800</v>
      </c>
      <c r="D4" s="623">
        <v>122783</v>
      </c>
      <c r="E4" s="623">
        <v>185831</v>
      </c>
      <c r="F4" s="623">
        <v>168619</v>
      </c>
      <c r="G4" s="623">
        <v>120651</v>
      </c>
      <c r="H4" s="623">
        <v>126126</v>
      </c>
      <c r="I4" s="623">
        <v>120075</v>
      </c>
      <c r="J4" s="325"/>
    </row>
    <row r="5" spans="1:21" ht="13.5" customHeight="1">
      <c r="A5" s="622" t="s">
        <v>1094</v>
      </c>
      <c r="B5" s="623">
        <v>17654</v>
      </c>
      <c r="C5" s="623">
        <v>14026</v>
      </c>
      <c r="D5" s="623">
        <v>16886</v>
      </c>
      <c r="E5" s="623">
        <v>34460</v>
      </c>
      <c r="F5" s="623">
        <v>29056</v>
      </c>
      <c r="G5" s="623">
        <v>17575</v>
      </c>
      <c r="H5" s="623">
        <v>24007</v>
      </c>
      <c r="I5" s="623">
        <v>27234</v>
      </c>
      <c r="J5" s="325"/>
      <c r="K5" s="16" t="s">
        <v>1095</v>
      </c>
      <c r="L5">
        <v>2015</v>
      </c>
      <c r="M5">
        <v>2016</v>
      </c>
      <c r="N5">
        <v>2017</v>
      </c>
      <c r="O5">
        <v>2018</v>
      </c>
      <c r="P5">
        <v>2019</v>
      </c>
      <c r="Q5">
        <v>2020</v>
      </c>
      <c r="R5">
        <v>2021</v>
      </c>
      <c r="S5">
        <v>2022</v>
      </c>
      <c r="T5" t="s">
        <v>1096</v>
      </c>
      <c r="U5" t="s">
        <v>1097</v>
      </c>
    </row>
    <row r="6" spans="1:21" ht="13.5" customHeight="1">
      <c r="A6" s="622" t="s">
        <v>1098</v>
      </c>
      <c r="B6" s="623">
        <v>20611</v>
      </c>
      <c r="C6" s="623">
        <v>16739</v>
      </c>
      <c r="D6" s="623">
        <v>25676</v>
      </c>
      <c r="E6" s="623">
        <v>36972</v>
      </c>
      <c r="F6" s="623">
        <v>40514</v>
      </c>
      <c r="G6" s="623">
        <v>22993</v>
      </c>
      <c r="H6" s="623">
        <v>27713</v>
      </c>
      <c r="I6" s="623">
        <v>28669</v>
      </c>
      <c r="J6" s="325"/>
      <c r="K6" s="16" t="s">
        <v>1093</v>
      </c>
      <c r="L6">
        <v>74609</v>
      </c>
      <c r="M6">
        <v>89800</v>
      </c>
      <c r="N6">
        <v>122783</v>
      </c>
      <c r="O6">
        <v>185831</v>
      </c>
      <c r="P6">
        <v>168619</v>
      </c>
      <c r="Q6">
        <v>120651</v>
      </c>
      <c r="R6">
        <v>126126</v>
      </c>
      <c r="S6">
        <v>120075</v>
      </c>
      <c r="T6"/>
      <c r="U6">
        <v>1008494</v>
      </c>
    </row>
    <row r="7" spans="1:21" ht="15">
      <c r="A7" s="426" t="s">
        <v>235</v>
      </c>
      <c r="B7" s="624">
        <f>SUM(B4:B6)</f>
        <v>112874</v>
      </c>
      <c r="C7" s="624">
        <f t="shared" ref="C7:H7" si="0">SUM(C4:C6)</f>
        <v>120565</v>
      </c>
      <c r="D7" s="624">
        <f t="shared" si="0"/>
        <v>165345</v>
      </c>
      <c r="E7" s="624">
        <f t="shared" si="0"/>
        <v>257263</v>
      </c>
      <c r="F7" s="624">
        <f t="shared" si="0"/>
        <v>238189</v>
      </c>
      <c r="G7" s="624">
        <f t="shared" si="0"/>
        <v>161219</v>
      </c>
      <c r="H7" s="624">
        <f t="shared" si="0"/>
        <v>177846</v>
      </c>
      <c r="I7" s="624">
        <f>SUM(I4:I6)</f>
        <v>175978</v>
      </c>
      <c r="J7" s="427"/>
      <c r="K7" s="16" t="s">
        <v>1094</v>
      </c>
      <c r="L7">
        <v>17654</v>
      </c>
      <c r="M7">
        <v>14026</v>
      </c>
      <c r="N7">
        <v>16886</v>
      </c>
      <c r="O7">
        <v>34460</v>
      </c>
      <c r="P7">
        <v>29056</v>
      </c>
      <c r="Q7">
        <v>17575</v>
      </c>
      <c r="R7">
        <v>24007</v>
      </c>
      <c r="S7">
        <v>27234</v>
      </c>
      <c r="T7"/>
      <c r="U7">
        <v>180898</v>
      </c>
    </row>
    <row r="8" spans="1:21" ht="20.25" customHeight="1">
      <c r="A8" s="2330" t="s">
        <v>1099</v>
      </c>
      <c r="B8" s="2330"/>
      <c r="C8" s="2330"/>
      <c r="D8" s="2330"/>
      <c r="E8" s="2330"/>
      <c r="F8" s="2330"/>
      <c r="G8" s="2330"/>
      <c r="H8" s="2330"/>
      <c r="I8" s="2330"/>
      <c r="K8" s="16" t="s">
        <v>1098</v>
      </c>
      <c r="L8">
        <v>20611</v>
      </c>
      <c r="M8">
        <v>16739</v>
      </c>
      <c r="N8">
        <v>25676</v>
      </c>
      <c r="O8">
        <v>36972</v>
      </c>
      <c r="P8">
        <v>40514</v>
      </c>
      <c r="Q8">
        <v>22993</v>
      </c>
      <c r="R8">
        <v>27713</v>
      </c>
      <c r="S8">
        <v>28669</v>
      </c>
      <c r="T8"/>
      <c r="U8">
        <v>219887</v>
      </c>
    </row>
    <row r="9" spans="1:21" ht="15">
      <c r="A9" s="337"/>
      <c r="K9" s="16" t="s">
        <v>1096</v>
      </c>
      <c r="L9"/>
      <c r="M9"/>
      <c r="N9"/>
      <c r="O9"/>
      <c r="P9"/>
      <c r="Q9"/>
      <c r="R9"/>
      <c r="S9"/>
      <c r="T9"/>
      <c r="U9"/>
    </row>
    <row r="10" spans="1:21" ht="15">
      <c r="A10" s="337"/>
      <c r="K10" s="16" t="s">
        <v>1097</v>
      </c>
      <c r="L10">
        <v>112874</v>
      </c>
      <c r="M10">
        <v>120565</v>
      </c>
      <c r="N10">
        <v>165345</v>
      </c>
      <c r="O10">
        <v>257263</v>
      </c>
      <c r="P10">
        <v>238189</v>
      </c>
      <c r="Q10">
        <v>161219</v>
      </c>
      <c r="R10">
        <v>177846</v>
      </c>
      <c r="S10">
        <v>175978</v>
      </c>
      <c r="T10"/>
      <c r="U10">
        <v>1409279</v>
      </c>
    </row>
    <row r="11" spans="1:21">
      <c r="A11" s="337"/>
    </row>
    <row r="12" spans="1:21">
      <c r="A12" s="337"/>
    </row>
  </sheetData>
  <mergeCells count="2">
    <mergeCell ref="A1:I1"/>
    <mergeCell ref="A8:I8"/>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09">
    <tabColor theme="6" tint="-0.499984740745262"/>
    <pageSetUpPr fitToPage="1"/>
  </sheetPr>
  <dimension ref="A1:T10"/>
  <sheetViews>
    <sheetView showGridLines="0" view="pageBreakPreview" zoomScale="70" zoomScaleNormal="100" zoomScaleSheetLayoutView="70" workbookViewId="0">
      <pane xSplit="1" ySplit="3" topLeftCell="B4" activePane="bottomRight" state="frozen"/>
      <selection pane="bottomRight" activeCell="K26" sqref="K26"/>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20" s="540" customFormat="1" ht="104.25" customHeight="1">
      <c r="A1" s="2185" t="s">
        <v>1100</v>
      </c>
      <c r="B1" s="2185"/>
      <c r="C1" s="2185"/>
      <c r="D1" s="2185"/>
      <c r="E1" s="2185"/>
      <c r="F1" s="2185"/>
      <c r="G1" s="2185"/>
      <c r="H1" s="2185"/>
      <c r="I1" s="2185"/>
      <c r="J1" s="2185"/>
    </row>
    <row r="2" spans="1:20" ht="15.75" customHeight="1"/>
    <row r="3" spans="1:20" s="543" customFormat="1" ht="27" customHeight="1">
      <c r="A3" s="555" t="s">
        <v>1092</v>
      </c>
      <c r="B3" s="683" t="s">
        <v>447</v>
      </c>
      <c r="C3" s="683" t="s">
        <v>448</v>
      </c>
      <c r="D3" s="683" t="s">
        <v>449</v>
      </c>
      <c r="E3" s="683" t="s">
        <v>450</v>
      </c>
      <c r="F3" s="683" t="s">
        <v>451</v>
      </c>
      <c r="G3" s="683" t="s">
        <v>452</v>
      </c>
      <c r="H3" s="683" t="s">
        <v>453</v>
      </c>
      <c r="I3" s="683" t="s">
        <v>454</v>
      </c>
      <c r="J3" s="556" t="s">
        <v>235</v>
      </c>
    </row>
    <row r="4" spans="1:20" ht="21.75" customHeight="1">
      <c r="A4" s="684" t="s">
        <v>1093</v>
      </c>
      <c r="B4" s="979">
        <v>363517045.23000002</v>
      </c>
      <c r="C4" s="979">
        <v>468151582.34000003</v>
      </c>
      <c r="D4" s="979">
        <v>595825240.70000005</v>
      </c>
      <c r="E4" s="979">
        <v>699302422.17999995</v>
      </c>
      <c r="F4" s="979">
        <v>997894234.25</v>
      </c>
      <c r="G4" s="685">
        <v>726046954.76999998</v>
      </c>
      <c r="H4" s="685">
        <v>845589689.4240526</v>
      </c>
      <c r="I4" s="685">
        <v>1013490035.92</v>
      </c>
      <c r="J4" s="686">
        <f>SUM(B4:I4)</f>
        <v>5709817204.8140526</v>
      </c>
    </row>
    <row r="5" spans="1:20" ht="21.75" customHeight="1">
      <c r="A5" s="684" t="s">
        <v>1094</v>
      </c>
      <c r="B5" s="979">
        <v>294082236</v>
      </c>
      <c r="C5" s="979">
        <v>258654996</v>
      </c>
      <c r="D5" s="979">
        <v>351221246.90999997</v>
      </c>
      <c r="E5" s="979">
        <v>611823256.20000005</v>
      </c>
      <c r="F5" s="979">
        <v>679361342.63999999</v>
      </c>
      <c r="G5" s="685">
        <v>452031424.79999995</v>
      </c>
      <c r="H5" s="685">
        <v>707257339.53559542</v>
      </c>
      <c r="I5" s="685">
        <v>1035014930.0400001</v>
      </c>
      <c r="J5" s="686">
        <f>SUM(B5:I5)</f>
        <v>4389446772.125596</v>
      </c>
      <c r="L5" t="s">
        <v>1095</v>
      </c>
      <c r="M5">
        <v>2015</v>
      </c>
      <c r="N5">
        <v>2016</v>
      </c>
      <c r="O5">
        <v>2017</v>
      </c>
      <c r="P5">
        <v>2018</v>
      </c>
      <c r="Q5">
        <v>2019</v>
      </c>
      <c r="R5">
        <v>2020</v>
      </c>
      <c r="S5">
        <v>2021</v>
      </c>
      <c r="T5">
        <v>2022</v>
      </c>
    </row>
    <row r="6" spans="1:20" ht="21.75" customHeight="1">
      <c r="A6" s="684" t="s">
        <v>1098</v>
      </c>
      <c r="B6" s="979">
        <v>954395629.62</v>
      </c>
      <c r="C6" s="979">
        <v>824091314.12999988</v>
      </c>
      <c r="D6" s="979">
        <v>1367644020.5673332</v>
      </c>
      <c r="E6" s="979">
        <v>2249742046.6733332</v>
      </c>
      <c r="F6" s="979">
        <v>2529316943.402667</v>
      </c>
      <c r="G6" s="685">
        <v>1527235545.0519998</v>
      </c>
      <c r="H6" s="685">
        <v>3167610230.9966679</v>
      </c>
      <c r="I6" s="685">
        <v>2145732856.9300001</v>
      </c>
      <c r="J6" s="686">
        <f>SUM(B6:I6)</f>
        <v>14765768587.372002</v>
      </c>
      <c r="L6" t="s">
        <v>1093</v>
      </c>
      <c r="M6">
        <v>363517045.23000002</v>
      </c>
      <c r="N6">
        <v>468151582.34000003</v>
      </c>
      <c r="O6">
        <v>595825240.70000005</v>
      </c>
      <c r="P6">
        <v>699302422.17999995</v>
      </c>
      <c r="Q6">
        <v>997894234.25</v>
      </c>
      <c r="R6">
        <v>726046954.76999998</v>
      </c>
      <c r="S6">
        <v>845589689.4240526</v>
      </c>
      <c r="T6">
        <v>1013490035.92</v>
      </c>
    </row>
    <row r="7" spans="1:20" ht="22.5" customHeight="1">
      <c r="A7" s="557" t="s">
        <v>235</v>
      </c>
      <c r="B7" s="687">
        <f t="shared" ref="B7:J7" si="0">SUM(B4:B6)</f>
        <v>1611994910.8499999</v>
      </c>
      <c r="C7" s="687">
        <f t="shared" si="0"/>
        <v>1550897892.4699998</v>
      </c>
      <c r="D7" s="687">
        <f t="shared" si="0"/>
        <v>2314690508.1773334</v>
      </c>
      <c r="E7" s="687">
        <f t="shared" si="0"/>
        <v>3560867725.0533333</v>
      </c>
      <c r="F7" s="687">
        <f t="shared" si="0"/>
        <v>4206572520.2926669</v>
      </c>
      <c r="G7" s="687">
        <f t="shared" si="0"/>
        <v>2705313924.6219997</v>
      </c>
      <c r="H7" s="687">
        <f t="shared" si="0"/>
        <v>4720457259.956316</v>
      </c>
      <c r="I7" s="687">
        <f>SUM(I4:I6)</f>
        <v>4194237822.8900003</v>
      </c>
      <c r="J7" s="558">
        <f t="shared" si="0"/>
        <v>24865032564.311649</v>
      </c>
      <c r="L7" t="s">
        <v>1094</v>
      </c>
      <c r="M7">
        <v>294082236</v>
      </c>
      <c r="N7">
        <v>258654996</v>
      </c>
      <c r="O7">
        <v>351221246.90999997</v>
      </c>
      <c r="P7">
        <v>611823256.20000005</v>
      </c>
      <c r="Q7">
        <v>679361342.63999999</v>
      </c>
      <c r="R7">
        <v>452031424.79999995</v>
      </c>
      <c r="S7">
        <v>707257339.53559542</v>
      </c>
      <c r="T7">
        <v>1035014930.0400001</v>
      </c>
    </row>
    <row r="8" spans="1:20" ht="22.5" customHeight="1">
      <c r="G8"/>
      <c r="H8"/>
      <c r="I8"/>
      <c r="J8"/>
      <c r="L8" t="s">
        <v>1098</v>
      </c>
      <c r="M8">
        <v>954395629.62</v>
      </c>
      <c r="N8">
        <v>824091314.12999988</v>
      </c>
      <c r="O8">
        <v>1367644020.5673332</v>
      </c>
      <c r="P8">
        <v>2249742046.6733332</v>
      </c>
      <c r="Q8">
        <v>2529316943.402667</v>
      </c>
      <c r="R8">
        <v>1527235545.0519998</v>
      </c>
      <c r="S8">
        <v>3167610230.9966679</v>
      </c>
      <c r="T8">
        <v>2145732856.9300001</v>
      </c>
    </row>
    <row r="9" spans="1:20" ht="22.5" customHeight="1">
      <c r="G9"/>
      <c r="H9"/>
      <c r="I9"/>
      <c r="J9"/>
      <c r="L9" t="s">
        <v>1096</v>
      </c>
    </row>
    <row r="10" spans="1:20" ht="22.5" customHeight="1">
      <c r="L10" t="s">
        <v>1097</v>
      </c>
      <c r="M10">
        <v>1611994910.8499999</v>
      </c>
      <c r="N10">
        <v>1550897892.4699998</v>
      </c>
      <c r="O10">
        <v>2314690508.1773334</v>
      </c>
      <c r="P10">
        <v>3560867725.0533333</v>
      </c>
      <c r="Q10">
        <v>4206572520.2926669</v>
      </c>
      <c r="R10">
        <v>2705313924.6219997</v>
      </c>
      <c r="S10">
        <v>4720457259.956316</v>
      </c>
      <c r="T10">
        <v>4194237822.8900003</v>
      </c>
    </row>
  </sheetData>
  <mergeCells count="1">
    <mergeCell ref="A1:J1"/>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0">
    <tabColor rgb="FF00B050"/>
    <pageSetUpPr fitToPage="1"/>
  </sheetPr>
  <dimension ref="A1"/>
  <sheetViews>
    <sheetView showGridLines="0" view="pageBreakPreview" zoomScale="85" zoomScaleNormal="100" zoomScaleSheetLayoutView="85" workbookViewId="0">
      <selection activeCell="J42" sqref="J42"/>
    </sheetView>
  </sheetViews>
  <sheetFormatPr defaultColWidth="11.42578125" defaultRowHeight="14.25"/>
  <cols>
    <col min="1" max="6" width="11.42578125" style="307"/>
    <col min="7" max="7" width="9.42578125" style="307" customWidth="1"/>
    <col min="8" max="16384" width="11.42578125" style="307"/>
  </cols>
  <sheetData/>
  <pageMargins left="0.70866141732283472" right="0.70866141732283472" top="0.74803149606299213" bottom="0.74803149606299213" header="0.31496062992125984" footer="0.31496062992125984"/>
  <pageSetup paperSize="119" scale="9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1">
    <tabColor rgb="FF00B050"/>
    <pageSetUpPr fitToPage="1"/>
  </sheetPr>
  <dimension ref="A3:W41"/>
  <sheetViews>
    <sheetView showGridLines="0" view="pageBreakPreview" zoomScaleNormal="100" zoomScaleSheetLayoutView="100" workbookViewId="0">
      <selection activeCell="O22" sqref="O22"/>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 min="14" max="14" width="36.28515625" customWidth="1"/>
    <col min="15" max="15" width="12.42578125" customWidth="1"/>
    <col min="16" max="16" width="15.7109375" customWidth="1"/>
    <col min="17" max="17" width="12.140625" customWidth="1"/>
    <col min="18" max="18" width="10.85546875" bestFit="1" customWidth="1"/>
    <col min="22" max="22" width="21.42578125" customWidth="1"/>
    <col min="23" max="23" width="19.42578125" customWidth="1"/>
  </cols>
  <sheetData>
    <row r="3" spans="1:19" ht="24.75" customHeight="1"/>
    <row r="4" spans="1:19" ht="25.5" customHeight="1">
      <c r="A4" s="2344" t="s">
        <v>1101</v>
      </c>
      <c r="B4" s="2344"/>
      <c r="C4" s="2344"/>
      <c r="D4" s="2344"/>
      <c r="E4" s="2344"/>
      <c r="F4" s="2344"/>
      <c r="G4" s="2344"/>
      <c r="H4" s="2344"/>
      <c r="I4" s="2344"/>
      <c r="J4" s="2344"/>
      <c r="K4" s="2344"/>
      <c r="L4" s="2344"/>
      <c r="M4" s="398"/>
      <c r="N4" s="138"/>
    </row>
    <row r="5" spans="1:19" ht="12.75" customHeight="1">
      <c r="A5" s="2344"/>
      <c r="B5" s="2344"/>
      <c r="C5" s="2344"/>
      <c r="D5" s="2344"/>
      <c r="E5" s="2344"/>
      <c r="F5" s="2344"/>
      <c r="G5" s="2344"/>
      <c r="H5" s="2344"/>
      <c r="I5" s="2344"/>
      <c r="J5" s="2344"/>
      <c r="K5" s="2344"/>
      <c r="L5" s="2344"/>
      <c r="M5" s="398"/>
      <c r="N5" s="138"/>
    </row>
    <row r="6" spans="1:19" ht="15" customHeight="1">
      <c r="A6" s="2344"/>
      <c r="B6" s="2344"/>
      <c r="C6" s="2344"/>
      <c r="D6" s="2344"/>
      <c r="E6" s="2344"/>
      <c r="F6" s="2344"/>
      <c r="G6" s="2344"/>
      <c r="H6" s="2344"/>
      <c r="I6" s="2344"/>
      <c r="J6" s="2344"/>
      <c r="K6" s="2344"/>
      <c r="L6" s="2344"/>
      <c r="M6" s="398"/>
      <c r="N6" s="138"/>
    </row>
    <row r="7" spans="1:19" ht="15" customHeight="1">
      <c r="A7" s="2344"/>
      <c r="B7" s="2344"/>
      <c r="C7" s="2344"/>
      <c r="D7" s="2344"/>
      <c r="E7" s="2344"/>
      <c r="F7" s="2344"/>
      <c r="G7" s="2344"/>
      <c r="H7" s="2344"/>
      <c r="I7" s="2344"/>
      <c r="J7" s="2344"/>
      <c r="K7" s="2344"/>
      <c r="L7" s="2344"/>
      <c r="M7" s="398"/>
      <c r="N7" s="138"/>
    </row>
    <row r="8" spans="1:19" ht="15" customHeight="1">
      <c r="A8" s="2344"/>
      <c r="B8" s="2344"/>
      <c r="C8" s="2344"/>
      <c r="D8" s="2344"/>
      <c r="E8" s="2344"/>
      <c r="F8" s="2344"/>
      <c r="G8" s="2344"/>
      <c r="H8" s="2344"/>
      <c r="I8" s="2344"/>
      <c r="J8" s="2344"/>
      <c r="K8" s="2344"/>
      <c r="L8" s="2344"/>
      <c r="M8" s="398"/>
      <c r="N8" s="1065" t="s">
        <v>1102</v>
      </c>
      <c r="O8" s="1065" t="str">
        <f>+'V.3.2 Pensiones por año'!B5</f>
        <v>Discapacidad</v>
      </c>
      <c r="P8" s="1065" t="str">
        <f>+'V.3.2 Pensiones por año'!C5</f>
        <v>Sobrevivencia</v>
      </c>
      <c r="Q8" s="1065" t="str">
        <f>+'V.3.2 Pensiones por año'!D5</f>
        <v>Retiro Programado</v>
      </c>
      <c r="R8" s="1065" t="str">
        <f>+'V.3.2 Pensiones por año'!E5</f>
        <v>Total Pensiones</v>
      </c>
    </row>
    <row r="9" spans="1:19" ht="15" customHeight="1">
      <c r="A9" s="2344"/>
      <c r="B9" s="2344"/>
      <c r="C9" s="2344"/>
      <c r="D9" s="2344"/>
      <c r="E9" s="2344"/>
      <c r="F9" s="2344"/>
      <c r="G9" s="2344"/>
      <c r="H9" s="2344"/>
      <c r="I9" s="2344"/>
      <c r="J9" s="2344"/>
      <c r="K9" s="2344"/>
      <c r="L9" s="2344"/>
      <c r="M9" s="398"/>
      <c r="N9" s="246" t="str">
        <f>+'V.3.2 Pensiones por año'!A24</f>
        <v>Abr.25</v>
      </c>
      <c r="O9" s="244">
        <f>+'V.3.2 Pensiones por año'!B24</f>
        <v>552</v>
      </c>
      <c r="P9" s="244">
        <f>+'V.3.2 Pensiones por año'!C24</f>
        <v>481</v>
      </c>
      <c r="Q9" s="244">
        <f>+'V.3.2 Pensiones por año'!D24</f>
        <v>7</v>
      </c>
      <c r="R9" s="244">
        <f>+'V.3.2 Pensiones por año'!E24</f>
        <v>1040</v>
      </c>
      <c r="S9" s="1066"/>
    </row>
    <row r="10" spans="1:19" ht="15" customHeight="1">
      <c r="A10" s="2344"/>
      <c r="B10" s="2344"/>
      <c r="C10" s="2344"/>
      <c r="D10" s="2344"/>
      <c r="E10" s="2344"/>
      <c r="F10" s="2344"/>
      <c r="G10" s="2344"/>
      <c r="H10" s="2344"/>
      <c r="I10" s="2344"/>
      <c r="J10" s="2344"/>
      <c r="K10" s="2344"/>
      <c r="L10" s="2344"/>
      <c r="M10" s="398"/>
      <c r="N10" s="1753" t="s">
        <v>235</v>
      </c>
      <c r="O10" s="1754">
        <f>+'V.3.2 Pensiones por año'!B25</f>
        <v>18413</v>
      </c>
      <c r="P10" s="1754">
        <f>+'V.3.2 Pensiones por año'!C25</f>
        <v>16262</v>
      </c>
      <c r="Q10" s="1754">
        <f>+'V.3.2 Pensiones por año'!D25</f>
        <v>78</v>
      </c>
      <c r="R10" s="1754">
        <f>+'V.3.2 Pensiones por año'!E25</f>
        <v>34753</v>
      </c>
      <c r="S10" s="1066"/>
    </row>
    <row r="11" spans="1:19" ht="15" customHeight="1">
      <c r="A11" s="2344"/>
      <c r="B11" s="2344"/>
      <c r="C11" s="2344"/>
      <c r="D11" s="2344"/>
      <c r="E11" s="2344"/>
      <c r="F11" s="2344"/>
      <c r="G11" s="2344"/>
      <c r="H11" s="2344"/>
      <c r="I11" s="2344"/>
      <c r="J11" s="2344"/>
      <c r="K11" s="2344"/>
      <c r="L11" s="2344"/>
      <c r="M11" s="398"/>
      <c r="N11" s="247"/>
      <c r="O11" s="245"/>
      <c r="P11" s="245"/>
      <c r="Q11" s="1272"/>
      <c r="R11" s="245"/>
      <c r="S11" s="1066"/>
    </row>
    <row r="12" spans="1:19" ht="15" customHeight="1">
      <c r="A12" s="2344"/>
      <c r="B12" s="2344"/>
      <c r="C12" s="2344"/>
      <c r="D12" s="2344"/>
      <c r="E12" s="2344"/>
      <c r="F12" s="2344"/>
      <c r="G12" s="2344"/>
      <c r="H12" s="2344"/>
      <c r="I12" s="2344"/>
      <c r="J12" s="2344"/>
      <c r="K12" s="2344"/>
      <c r="L12" s="2344"/>
      <c r="M12" s="398"/>
      <c r="N12" s="247"/>
      <c r="O12" s="245"/>
      <c r="P12" s="245"/>
      <c r="Q12" s="245"/>
      <c r="R12" s="245"/>
      <c r="S12" s="1066"/>
    </row>
    <row r="13" spans="1:19" ht="15" customHeight="1">
      <c r="A13" s="2344"/>
      <c r="B13" s="2344"/>
      <c r="C13" s="2344"/>
      <c r="D13" s="2344"/>
      <c r="E13" s="2344"/>
      <c r="F13" s="2344"/>
      <c r="G13" s="2344"/>
      <c r="H13" s="2344"/>
      <c r="I13" s="2344"/>
      <c r="J13" s="2344"/>
      <c r="K13" s="2344"/>
      <c r="L13" s="2344"/>
      <c r="M13" s="398"/>
      <c r="N13" s="247"/>
      <c r="O13" s="245"/>
      <c r="Q13" s="245"/>
      <c r="R13" s="245"/>
      <c r="S13" s="1066"/>
    </row>
    <row r="14" spans="1:19" ht="15" customHeight="1">
      <c r="A14" s="2344"/>
      <c r="B14" s="2344"/>
      <c r="C14" s="2344"/>
      <c r="D14" s="2344"/>
      <c r="E14" s="2344"/>
      <c r="F14" s="2344"/>
      <c r="G14" s="2344"/>
      <c r="H14" s="2344"/>
      <c r="I14" s="2344"/>
      <c r="J14" s="2344"/>
      <c r="K14" s="2344"/>
      <c r="L14" s="2344"/>
      <c r="M14" s="398"/>
      <c r="N14" s="1067" t="s">
        <v>1103</v>
      </c>
      <c r="O14" s="1068" t="s">
        <v>1104</v>
      </c>
      <c r="P14" s="245"/>
      <c r="Q14" s="245"/>
      <c r="R14" s="245"/>
      <c r="S14" s="1066"/>
    </row>
    <row r="15" spans="1:19" ht="30.75" customHeight="1">
      <c r="A15" s="2344"/>
      <c r="B15" s="2344"/>
      <c r="C15" s="2344"/>
      <c r="D15" s="2344"/>
      <c r="E15" s="2344"/>
      <c r="F15" s="2344"/>
      <c r="G15" s="2344"/>
      <c r="H15" s="2344"/>
      <c r="I15" s="2344"/>
      <c r="J15" s="2344"/>
      <c r="K15" s="2344"/>
      <c r="L15" s="2344"/>
      <c r="M15" s="398"/>
      <c r="N15" s="1069" t="str">
        <f>+'V.3.3.Pens.Disc. AFP'!A5</f>
        <v>Sobreviviencia</v>
      </c>
      <c r="O15" s="1070">
        <f>+'V.3.3.Pens.Disc. AFP'!B5</f>
        <v>13361</v>
      </c>
      <c r="P15" s="245"/>
      <c r="Q15" s="245"/>
      <c r="R15" s="245"/>
      <c r="S15" s="1066"/>
    </row>
    <row r="16" spans="1:19" ht="15" customHeight="1">
      <c r="A16" s="2344"/>
      <c r="B16" s="2344"/>
      <c r="C16" s="2344"/>
      <c r="D16" s="2344"/>
      <c r="E16" s="2344"/>
      <c r="F16" s="2344"/>
      <c r="G16" s="2344"/>
      <c r="H16" s="2344"/>
      <c r="I16" s="2344"/>
      <c r="J16" s="2344"/>
      <c r="K16" s="2344"/>
      <c r="L16" s="2344"/>
      <c r="M16" s="398"/>
      <c r="N16" s="1069" t="str">
        <f>+'V.3.3.Pens.Disc. AFP'!A6</f>
        <v>Discapacidad Parcial</v>
      </c>
      <c r="O16" s="1070">
        <f>+'V.3.3.Pens.Disc. AFP'!B6</f>
        <v>4846</v>
      </c>
      <c r="P16" s="245"/>
      <c r="Q16" s="245"/>
      <c r="R16" s="245"/>
      <c r="S16" s="1066"/>
    </row>
    <row r="17" spans="1:23" ht="15" customHeight="1">
      <c r="A17" s="2344"/>
      <c r="B17" s="2344"/>
      <c r="C17" s="2344"/>
      <c r="D17" s="2344"/>
      <c r="E17" s="2344"/>
      <c r="F17" s="2344"/>
      <c r="G17" s="2344"/>
      <c r="H17" s="2344"/>
      <c r="I17" s="2344"/>
      <c r="J17" s="2344"/>
      <c r="K17" s="2344"/>
      <c r="L17" s="2344"/>
      <c r="M17" s="398"/>
      <c r="N17" s="1069" t="str">
        <f>+'V.3.3.Pens.Disc. AFP'!A7</f>
        <v>Discapacidad  Total</v>
      </c>
      <c r="O17" s="1070">
        <f>+'V.3.3.Pens.Disc. AFP'!B7</f>
        <v>16262</v>
      </c>
      <c r="P17" s="245"/>
      <c r="Q17" s="245"/>
      <c r="R17" s="245"/>
      <c r="S17" s="1066"/>
    </row>
    <row r="18" spans="1:23" ht="15" customHeight="1">
      <c r="A18" s="2344"/>
      <c r="B18" s="2344"/>
      <c r="C18" s="2344"/>
      <c r="D18" s="2344"/>
      <c r="E18" s="2344"/>
      <c r="F18" s="2344"/>
      <c r="G18" s="2344"/>
      <c r="H18" s="2344"/>
      <c r="I18" s="2344"/>
      <c r="J18" s="2344"/>
      <c r="K18" s="2344"/>
      <c r="L18" s="2344"/>
      <c r="M18" s="398"/>
      <c r="N18" s="1069" t="str">
        <f>+'V.3.3.Pens.Disc. AFP'!A8</f>
        <v>Retiro programado**</v>
      </c>
      <c r="O18" s="1070">
        <f>+'V.3.3.Pens.Disc. AFP'!B8</f>
        <v>39362.04</v>
      </c>
    </row>
    <row r="19" spans="1:23" ht="15" customHeight="1">
      <c r="A19" s="2344"/>
      <c r="B19" s="2344"/>
      <c r="C19" s="2344"/>
      <c r="D19" s="2344"/>
      <c r="E19" s="2344"/>
      <c r="F19" s="2344"/>
      <c r="G19" s="2344"/>
      <c r="H19" s="2344"/>
      <c r="I19" s="2344"/>
      <c r="J19" s="2344"/>
      <c r="K19" s="2344"/>
      <c r="L19" s="2344"/>
      <c r="M19" s="398"/>
      <c r="N19" s="2345" t="s">
        <v>1105</v>
      </c>
      <c r="O19" s="2345"/>
    </row>
    <row r="20" spans="1:23" ht="15" customHeight="1">
      <c r="A20" s="2344"/>
      <c r="B20" s="2344"/>
      <c r="C20" s="2344"/>
      <c r="D20" s="2344"/>
      <c r="E20" s="2344"/>
      <c r="F20" s="2344"/>
      <c r="G20" s="2344"/>
      <c r="H20" s="2344"/>
      <c r="I20" s="2344"/>
      <c r="J20" s="2344"/>
      <c r="K20" s="2344"/>
      <c r="L20" s="2344"/>
      <c r="M20" s="398"/>
      <c r="N20" s="138"/>
    </row>
    <row r="21" spans="1:23" ht="15" customHeight="1">
      <c r="A21" s="2344"/>
      <c r="B21" s="2344"/>
      <c r="C21" s="2344"/>
      <c r="D21" s="2344"/>
      <c r="E21" s="2344"/>
      <c r="F21" s="2344"/>
      <c r="G21" s="2344"/>
      <c r="H21" s="2344"/>
      <c r="I21" s="2344"/>
      <c r="J21" s="2344"/>
      <c r="K21" s="2344"/>
      <c r="L21" s="2344"/>
      <c r="M21" s="398"/>
    </row>
    <row r="22" spans="1:23" ht="15" customHeight="1">
      <c r="A22" s="2344"/>
      <c r="B22" s="2344"/>
      <c r="C22" s="2344"/>
      <c r="D22" s="2344"/>
      <c r="E22" s="2344"/>
      <c r="F22" s="2344"/>
      <c r="G22" s="2344"/>
      <c r="H22" s="2344"/>
      <c r="I22" s="2344"/>
      <c r="J22" s="2344"/>
      <c r="K22" s="2344"/>
      <c r="L22" s="2344"/>
      <c r="M22" s="398"/>
    </row>
    <row r="23" spans="1:23" ht="15" customHeight="1">
      <c r="A23" s="2344"/>
      <c r="B23" s="2344"/>
      <c r="C23" s="2344"/>
      <c r="D23" s="2344"/>
      <c r="E23" s="2344"/>
      <c r="F23" s="2344"/>
      <c r="G23" s="2344"/>
      <c r="H23" s="2344"/>
      <c r="I23" s="2344"/>
      <c r="J23" s="2344"/>
      <c r="K23" s="2344"/>
      <c r="L23" s="2344"/>
      <c r="M23" s="398"/>
      <c r="N23" s="1721" t="s">
        <v>1106</v>
      </c>
      <c r="O23" s="1721"/>
      <c r="Q23" s="1740" t="s">
        <v>1107</v>
      </c>
      <c r="R23" s="1730"/>
      <c r="S23" s="1730"/>
      <c r="T23" s="1730"/>
      <c r="V23" s="2331" t="s">
        <v>1108</v>
      </c>
      <c r="W23" s="2331"/>
    </row>
    <row r="24" spans="1:23" ht="15" customHeight="1">
      <c r="A24" s="2344"/>
      <c r="B24" s="2344"/>
      <c r="C24" s="2344"/>
      <c r="D24" s="2344"/>
      <c r="E24" s="2344"/>
      <c r="F24" s="2344"/>
      <c r="G24" s="2344"/>
      <c r="H24" s="2344"/>
      <c r="I24" s="2344"/>
      <c r="J24" s="2344"/>
      <c r="K24" s="2344"/>
      <c r="L24" s="2344"/>
      <c r="M24" s="398"/>
      <c r="N24" s="2346" t="s">
        <v>1109</v>
      </c>
      <c r="O24" s="2346"/>
      <c r="Q24" s="2332" t="s">
        <v>1110</v>
      </c>
      <c r="R24" s="2332"/>
      <c r="S24" s="2332"/>
      <c r="T24" s="2332"/>
      <c r="V24" s="2332" t="s">
        <v>1111</v>
      </c>
      <c r="W24" s="2332"/>
    </row>
    <row r="25" spans="1:23" ht="19.5" customHeight="1" thickBot="1">
      <c r="A25" s="2344"/>
      <c r="B25" s="2344"/>
      <c r="C25" s="2344"/>
      <c r="D25" s="2344"/>
      <c r="E25" s="2344"/>
      <c r="F25" s="2344"/>
      <c r="G25" s="2344"/>
      <c r="H25" s="2344"/>
      <c r="I25" s="2344"/>
      <c r="J25" s="2344"/>
      <c r="K25" s="2344"/>
      <c r="L25" s="2344"/>
      <c r="M25" s="398"/>
      <c r="N25" s="2347" t="s">
        <v>1112</v>
      </c>
      <c r="O25" s="2347"/>
      <c r="Q25" s="1741" t="s">
        <v>1112</v>
      </c>
      <c r="R25" s="1741"/>
      <c r="S25" s="1741"/>
      <c r="T25" s="1741"/>
      <c r="V25" s="2332"/>
      <c r="W25" s="2332"/>
    </row>
    <row r="26" spans="1:23" ht="16.5" thickTop="1" thickBot="1">
      <c r="A26" s="2344"/>
      <c r="B26" s="2344"/>
      <c r="C26" s="2344"/>
      <c r="D26" s="2344"/>
      <c r="E26" s="2344"/>
      <c r="F26" s="2344"/>
      <c r="G26" s="2344"/>
      <c r="H26" s="2344"/>
      <c r="I26" s="2344"/>
      <c r="J26" s="2344"/>
      <c r="K26" s="2344"/>
      <c r="L26" s="2344"/>
      <c r="N26" s="2348" t="s">
        <v>1113</v>
      </c>
      <c r="O26" s="2350" t="s">
        <v>1114</v>
      </c>
      <c r="Q26" s="2334" t="s">
        <v>1115</v>
      </c>
      <c r="R26" s="2340" t="s">
        <v>1116</v>
      </c>
      <c r="S26" s="2341"/>
      <c r="T26" s="2336" t="s">
        <v>1117</v>
      </c>
      <c r="V26" s="2333" t="s">
        <v>1112</v>
      </c>
      <c r="W26" s="2333"/>
    </row>
    <row r="27" spans="1:23" ht="16.5" thickTop="1" thickBot="1">
      <c r="A27" s="2344"/>
      <c r="B27" s="2344"/>
      <c r="C27" s="2344"/>
      <c r="D27" s="2344"/>
      <c r="E27" s="2344"/>
      <c r="F27" s="2344"/>
      <c r="G27" s="2344"/>
      <c r="H27" s="2344"/>
      <c r="I27" s="2344"/>
      <c r="J27" s="2344"/>
      <c r="K27" s="2344"/>
      <c r="L27" s="2344"/>
      <c r="N27" s="2349"/>
      <c r="O27" s="2351"/>
      <c r="Q27" s="2335"/>
      <c r="R27" s="1742" t="s">
        <v>1118</v>
      </c>
      <c r="S27" s="1742" t="s">
        <v>235</v>
      </c>
      <c r="T27" s="2337"/>
      <c r="V27" s="2334" t="s">
        <v>1115</v>
      </c>
      <c r="W27" s="2336" t="s">
        <v>1119</v>
      </c>
    </row>
    <row r="28" spans="1:23" ht="16.5" thickTop="1" thickBot="1">
      <c r="A28" s="2344"/>
      <c r="B28" s="2344"/>
      <c r="C28" s="2344"/>
      <c r="D28" s="2344"/>
      <c r="E28" s="2344"/>
      <c r="F28" s="2344"/>
      <c r="G28" s="2344"/>
      <c r="H28" s="2344"/>
      <c r="I28" s="2344"/>
      <c r="J28" s="2344"/>
      <c r="K28" s="2344"/>
      <c r="L28" s="2344"/>
      <c r="N28" s="1722" t="s">
        <v>687</v>
      </c>
      <c r="O28" s="1725">
        <v>14272.316986301001</v>
      </c>
      <c r="Q28" s="1739" t="s">
        <v>687</v>
      </c>
      <c r="R28" s="1731">
        <v>5555.1</v>
      </c>
      <c r="S28" s="1732">
        <v>10952.16</v>
      </c>
      <c r="T28" s="1733">
        <v>9024.6385714285716</v>
      </c>
      <c r="V28" s="2335"/>
      <c r="W28" s="2337"/>
    </row>
    <row r="29" spans="1:23" ht="15.75" thickTop="1">
      <c r="A29" s="2344"/>
      <c r="B29" s="2344"/>
      <c r="C29" s="2344"/>
      <c r="D29" s="2344"/>
      <c r="E29" s="2344"/>
      <c r="F29" s="2344"/>
      <c r="G29" s="2344"/>
      <c r="H29" s="2344"/>
      <c r="I29" s="2344"/>
      <c r="J29" s="2344"/>
      <c r="K29" s="2344"/>
      <c r="L29" s="2344"/>
      <c r="N29" s="1720" t="s">
        <v>688</v>
      </c>
      <c r="O29" s="1726">
        <v>11237.646603319999</v>
      </c>
      <c r="Q29" s="1734" t="s">
        <v>688</v>
      </c>
      <c r="R29" s="1731">
        <v>3599.08</v>
      </c>
      <c r="S29" s="1731">
        <v>9183.26</v>
      </c>
      <c r="T29" s="1735">
        <v>6954.5017976115641</v>
      </c>
      <c r="V29" s="1746" t="s">
        <v>687</v>
      </c>
      <c r="W29" s="1750">
        <v>0</v>
      </c>
    </row>
    <row r="30" spans="1:23">
      <c r="A30" s="2344"/>
      <c r="B30" s="2344"/>
      <c r="C30" s="2344"/>
      <c r="D30" s="2344"/>
      <c r="E30" s="2344"/>
      <c r="F30" s="2344"/>
      <c r="G30" s="2344"/>
      <c r="H30" s="2344"/>
      <c r="I30" s="2344"/>
      <c r="J30" s="2344"/>
      <c r="K30" s="2344"/>
      <c r="L30" s="2344"/>
      <c r="N30" s="1722" t="s">
        <v>689</v>
      </c>
      <c r="O30" s="1726">
        <v>19355.751379310001</v>
      </c>
      <c r="Q30" s="1734" t="s">
        <v>689</v>
      </c>
      <c r="R30" s="1731">
        <v>6552.42</v>
      </c>
      <c r="S30" s="1731">
        <v>20900.37</v>
      </c>
      <c r="T30" s="1735">
        <v>19796.68153846154</v>
      </c>
      <c r="V30" s="1739" t="s">
        <v>688</v>
      </c>
      <c r="W30" s="1748">
        <v>20260.23</v>
      </c>
    </row>
    <row r="31" spans="1:23" ht="29.25" customHeight="1">
      <c r="A31" s="2344"/>
      <c r="B31" s="2344"/>
      <c r="C31" s="2344"/>
      <c r="D31" s="2344"/>
      <c r="E31" s="2344"/>
      <c r="F31" s="2344"/>
      <c r="G31" s="2344"/>
      <c r="H31" s="2344"/>
      <c r="I31" s="2344"/>
      <c r="J31" s="2344"/>
      <c r="K31" s="2344"/>
      <c r="L31" s="2344"/>
      <c r="N31" s="1722" t="s">
        <v>690</v>
      </c>
      <c r="O31" s="1726">
        <v>13629.879070982999</v>
      </c>
      <c r="Q31" s="1739" t="s">
        <v>690</v>
      </c>
      <c r="R31" s="1731">
        <v>5283.58</v>
      </c>
      <c r="S31" s="1731">
        <v>12597.72</v>
      </c>
      <c r="T31" s="1735">
        <v>10137.613004680186</v>
      </c>
      <c r="V31" s="1739" t="s">
        <v>689</v>
      </c>
      <c r="W31" s="1748">
        <v>22817.635000000002</v>
      </c>
    </row>
    <row r="32" spans="1:23">
      <c r="N32" s="1722" t="s">
        <v>691</v>
      </c>
      <c r="O32" s="1726">
        <v>15328.690077871999</v>
      </c>
      <c r="Q32" s="1739" t="s">
        <v>691</v>
      </c>
      <c r="R32" s="1731">
        <v>4601.92</v>
      </c>
      <c r="S32" s="1731">
        <v>12294.31</v>
      </c>
      <c r="T32" s="1735">
        <v>8845.6512944245187</v>
      </c>
      <c r="V32" s="1739" t="s">
        <v>690</v>
      </c>
      <c r="W32" s="1748">
        <v>44084.370566037753</v>
      </c>
    </row>
    <row r="33" spans="14:23">
      <c r="N33" s="1722" t="s">
        <v>692</v>
      </c>
      <c r="O33" s="1726">
        <v>9599.5576964770007</v>
      </c>
      <c r="Q33" s="1739" t="s">
        <v>692</v>
      </c>
      <c r="R33" s="1731">
        <v>3965.53</v>
      </c>
      <c r="S33" s="1731">
        <v>8782.8700000000008</v>
      </c>
      <c r="T33" s="1735">
        <v>7524.0675879396995</v>
      </c>
      <c r="V33" s="1739" t="s">
        <v>691</v>
      </c>
      <c r="W33" s="1748">
        <v>29246.069999999996</v>
      </c>
    </row>
    <row r="34" spans="14:23">
      <c r="N34" s="1722" t="s">
        <v>693</v>
      </c>
      <c r="O34" s="1726">
        <v>12941.573246614</v>
      </c>
      <c r="Q34" s="1739" t="s">
        <v>693</v>
      </c>
      <c r="R34" s="1731">
        <v>4620.76</v>
      </c>
      <c r="S34" s="1731">
        <v>10934.53</v>
      </c>
      <c r="T34" s="1735">
        <v>8848.4013157894751</v>
      </c>
      <c r="V34" s="1739" t="s">
        <v>692</v>
      </c>
      <c r="W34" s="1751">
        <v>0</v>
      </c>
    </row>
    <row r="35" spans="14:23">
      <c r="N35" s="1723" t="s">
        <v>1120</v>
      </c>
      <c r="O35" s="1726">
        <v>41356.106</v>
      </c>
      <c r="Q35" s="1743" t="s">
        <v>1121</v>
      </c>
      <c r="R35" s="1731">
        <v>12565.8</v>
      </c>
      <c r="S35" s="1731">
        <v>36564.97</v>
      </c>
      <c r="T35" s="1735">
        <v>31091.4750877193</v>
      </c>
      <c r="V35" s="1739" t="s">
        <v>693</v>
      </c>
      <c r="W35" s="1748">
        <v>22963.592857142859</v>
      </c>
    </row>
    <row r="36" spans="14:23" ht="15.75" thickBot="1">
      <c r="N36" s="1723" t="s">
        <v>1122</v>
      </c>
      <c r="O36" s="1726">
        <v>35405.611842104998</v>
      </c>
      <c r="Q36" s="1743" t="s">
        <v>1123</v>
      </c>
      <c r="R36" s="1731">
        <v>16502.330000000002</v>
      </c>
      <c r="S36" s="1731">
        <v>32540.11</v>
      </c>
      <c r="T36" s="1735">
        <v>25303.550731707321</v>
      </c>
      <c r="V36" s="1739" t="s">
        <v>217</v>
      </c>
      <c r="W36" s="1752">
        <v>0</v>
      </c>
    </row>
    <row r="37" spans="14:23" ht="16.5" thickTop="1" thickBot="1">
      <c r="N37" s="1723" t="s">
        <v>1124</v>
      </c>
      <c r="O37" s="1726">
        <v>9215.2796732026</v>
      </c>
      <c r="Q37" s="1743" t="s">
        <v>1125</v>
      </c>
      <c r="R37" s="1731">
        <v>6155.31</v>
      </c>
      <c r="S37" s="1731">
        <v>15378.71</v>
      </c>
      <c r="T37" s="1735">
        <v>11178.889502196193</v>
      </c>
      <c r="V37" s="1747" t="s">
        <v>1126</v>
      </c>
      <c r="W37" s="1749">
        <v>39867.32432835822</v>
      </c>
    </row>
    <row r="38" spans="14:23" ht="18.75" thickTop="1" thickBot="1">
      <c r="N38" s="1727" t="s">
        <v>1127</v>
      </c>
      <c r="O38" s="1728">
        <v>33907.519999999997</v>
      </c>
      <c r="Q38" s="1744" t="s">
        <v>1128</v>
      </c>
      <c r="R38" s="1736">
        <v>0</v>
      </c>
      <c r="S38" s="1736">
        <v>21981.65</v>
      </c>
      <c r="T38" s="1737">
        <v>21981.65</v>
      </c>
    </row>
    <row r="39" spans="14:23" ht="16.5" thickTop="1" thickBot="1">
      <c r="N39" s="1724" t="s">
        <v>1129</v>
      </c>
      <c r="O39" s="1729">
        <v>13188.749192699999</v>
      </c>
      <c r="Q39" s="1745" t="s">
        <v>1130</v>
      </c>
      <c r="R39" s="1738">
        <v>4791.8557283747696</v>
      </c>
      <c r="S39" s="1738">
        <v>15893.053617054029</v>
      </c>
      <c r="T39" s="1738">
        <v>12868.053330160687</v>
      </c>
    </row>
    <row r="40" spans="14:23" ht="15.75" thickTop="1">
      <c r="Q40" s="2342" t="s">
        <v>1131</v>
      </c>
      <c r="R40" s="2342"/>
      <c r="S40" s="2342"/>
      <c r="T40" s="2343"/>
    </row>
    <row r="41" spans="14:23">
      <c r="Q41" s="2338" t="s">
        <v>1132</v>
      </c>
      <c r="R41" s="2338"/>
      <c r="S41" s="2338"/>
      <c r="T41" s="2339"/>
    </row>
  </sheetData>
  <mergeCells count="17">
    <mergeCell ref="A4:L31"/>
    <mergeCell ref="N19:O19"/>
    <mergeCell ref="N24:O24"/>
    <mergeCell ref="N25:O25"/>
    <mergeCell ref="N26:N27"/>
    <mergeCell ref="O26:O27"/>
    <mergeCell ref="Q41:T41"/>
    <mergeCell ref="Q24:T24"/>
    <mergeCell ref="Q26:Q27"/>
    <mergeCell ref="R26:S26"/>
    <mergeCell ref="T26:T27"/>
    <mergeCell ref="Q40:T40"/>
    <mergeCell ref="V23:W23"/>
    <mergeCell ref="V24:W25"/>
    <mergeCell ref="V26:W26"/>
    <mergeCell ref="V27:V28"/>
    <mergeCell ref="W27:W28"/>
  </mergeCells>
  <pageMargins left="0.70866141732283472" right="0.70866141732283472" top="0.74803149606299213" bottom="0.74803149606299213" header="0.31496062992125984" footer="0.31496062992125984"/>
  <pageSetup paperSize="119" scale="9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2">
    <tabColor rgb="FF00B050"/>
    <pageSetUpPr fitToPage="1"/>
  </sheetPr>
  <dimension ref="A1:U34"/>
  <sheetViews>
    <sheetView showGridLines="0" view="pageBreakPreview" topLeftCell="A5" zoomScale="55" zoomScaleNormal="100" zoomScaleSheetLayoutView="55" workbookViewId="0">
      <selection activeCell="H10" sqref="H10"/>
    </sheetView>
  </sheetViews>
  <sheetFormatPr defaultColWidth="11.42578125" defaultRowHeight="15"/>
  <cols>
    <col min="1" max="1" width="25.7109375" customWidth="1"/>
    <col min="2" max="2" width="24.85546875" customWidth="1"/>
    <col min="3" max="3" width="24.5703125" customWidth="1"/>
    <col min="4" max="4" width="26.42578125" style="50"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540" customFormat="1" ht="83.25" customHeight="1">
      <c r="A1" s="2297" t="s">
        <v>1133</v>
      </c>
      <c r="B1" s="2297"/>
      <c r="C1" s="2297"/>
      <c r="D1" s="2297"/>
      <c r="E1" s="2297"/>
      <c r="F1" s="2297"/>
      <c r="G1" s="2297"/>
      <c r="H1" s="2297"/>
      <c r="I1" s="2297"/>
      <c r="J1" s="2297"/>
      <c r="K1" s="2297"/>
      <c r="O1"/>
      <c r="P1"/>
      <c r="Q1"/>
      <c r="R1"/>
      <c r="S1"/>
      <c r="T1"/>
      <c r="U1"/>
    </row>
    <row r="2" spans="1:21" s="540" customFormat="1" ht="33.75" customHeight="1">
      <c r="A2" s="2185" t="str">
        <f>+'Resumen '!O12</f>
        <v>Período:  Diciembre 2003 - Abril 2025</v>
      </c>
      <c r="B2" s="2185"/>
      <c r="C2" s="2185"/>
      <c r="D2" s="2185"/>
      <c r="E2" s="2185"/>
      <c r="F2" s="2185"/>
      <c r="G2" s="2185"/>
      <c r="H2" s="2185"/>
      <c r="I2" s="2185"/>
      <c r="J2" s="2185"/>
      <c r="K2" s="2185"/>
      <c r="O2"/>
      <c r="P2"/>
      <c r="Q2"/>
      <c r="R2"/>
      <c r="S2"/>
      <c r="T2"/>
      <c r="U2"/>
    </row>
    <row r="3" spans="1:21" ht="22.5" customHeight="1"/>
    <row r="4" spans="1:21" ht="33.75" customHeight="1">
      <c r="B4" s="2352" t="s">
        <v>1134</v>
      </c>
      <c r="C4" s="2352"/>
      <c r="D4" s="2352"/>
      <c r="E4" s="2352"/>
      <c r="F4" s="2352"/>
      <c r="G4" s="2352"/>
    </row>
    <row r="5" spans="1:21" s="16" customFormat="1" ht="66" customHeight="1">
      <c r="A5" s="669" t="s">
        <v>683</v>
      </c>
      <c r="B5" s="669" t="s">
        <v>839</v>
      </c>
      <c r="C5" s="669" t="s">
        <v>841</v>
      </c>
      <c r="D5" s="676" t="s">
        <v>843</v>
      </c>
      <c r="E5" s="669" t="s">
        <v>1135</v>
      </c>
      <c r="F5" s="669" t="s">
        <v>1136</v>
      </c>
      <c r="G5" s="669" t="s">
        <v>1137</v>
      </c>
      <c r="O5" s="540"/>
      <c r="P5" s="540"/>
      <c r="Q5" s="540"/>
      <c r="R5" s="540"/>
      <c r="S5" s="540"/>
      <c r="T5" s="540"/>
      <c r="U5" s="540"/>
    </row>
    <row r="6" spans="1:21" s="35" customFormat="1" ht="26.25">
      <c r="A6" s="677" t="s">
        <v>1138</v>
      </c>
      <c r="B6" s="678">
        <v>293</v>
      </c>
      <c r="C6" s="678">
        <v>799</v>
      </c>
      <c r="D6" s="679">
        <v>0</v>
      </c>
      <c r="E6" s="680">
        <f t="shared" ref="E6:E17" si="0">SUM(B6:D6)</f>
        <v>1092</v>
      </c>
      <c r="F6" s="681">
        <f t="shared" ref="F6:F18" si="1">B6/E6</f>
        <v>0.26831501831501831</v>
      </c>
      <c r="G6" s="681">
        <f t="shared" ref="G6:G18" si="2">C6/E6</f>
        <v>0.73168498168498164</v>
      </c>
      <c r="O6" s="889"/>
      <c r="P6" s="889"/>
      <c r="Q6" s="889"/>
      <c r="R6" s="889"/>
      <c r="S6" s="889"/>
      <c r="T6" s="889"/>
      <c r="U6" s="889"/>
    </row>
    <row r="7" spans="1:21" s="35" customFormat="1" ht="26.25">
      <c r="A7" s="677">
        <v>2008</v>
      </c>
      <c r="B7" s="678">
        <v>247</v>
      </c>
      <c r="C7" s="678">
        <v>480</v>
      </c>
      <c r="D7" s="679">
        <v>0</v>
      </c>
      <c r="E7" s="680">
        <f t="shared" si="0"/>
        <v>727</v>
      </c>
      <c r="F7" s="681">
        <f t="shared" si="1"/>
        <v>0.33975240715268223</v>
      </c>
      <c r="G7" s="681">
        <f t="shared" si="2"/>
        <v>0.66024759284731771</v>
      </c>
      <c r="O7" s="889"/>
      <c r="P7" s="889"/>
      <c r="Q7" s="889"/>
      <c r="R7" s="889"/>
      <c r="S7" s="889"/>
      <c r="T7" s="889"/>
      <c r="U7" s="889"/>
    </row>
    <row r="8" spans="1:21" s="35" customFormat="1" ht="26.25">
      <c r="A8" s="677">
        <v>2009</v>
      </c>
      <c r="B8" s="678">
        <v>254</v>
      </c>
      <c r="C8" s="678">
        <v>472</v>
      </c>
      <c r="D8" s="679">
        <v>1</v>
      </c>
      <c r="E8" s="680">
        <f t="shared" si="0"/>
        <v>727</v>
      </c>
      <c r="F8" s="681">
        <f t="shared" si="1"/>
        <v>0.34938101788170561</v>
      </c>
      <c r="G8" s="681">
        <f t="shared" si="2"/>
        <v>0.6492434662998624</v>
      </c>
      <c r="O8" s="889"/>
      <c r="P8" s="889"/>
      <c r="Q8" s="889"/>
      <c r="R8" s="889"/>
      <c r="S8" s="889"/>
      <c r="T8" s="889"/>
      <c r="U8" s="889"/>
    </row>
    <row r="9" spans="1:21" s="35" customFormat="1" ht="26.25">
      <c r="A9" s="677">
        <v>2010</v>
      </c>
      <c r="B9" s="678">
        <v>255</v>
      </c>
      <c r="C9" s="678">
        <v>410</v>
      </c>
      <c r="D9" s="679">
        <v>1</v>
      </c>
      <c r="E9" s="680">
        <f t="shared" si="0"/>
        <v>666</v>
      </c>
      <c r="F9" s="681">
        <f t="shared" si="1"/>
        <v>0.38288288288288286</v>
      </c>
      <c r="G9" s="681">
        <f t="shared" si="2"/>
        <v>0.61561561561561562</v>
      </c>
      <c r="O9" s="889"/>
      <c r="P9" s="889"/>
      <c r="Q9" s="889"/>
      <c r="R9" s="889"/>
      <c r="S9" s="889"/>
      <c r="T9" s="889"/>
      <c r="U9" s="889"/>
    </row>
    <row r="10" spans="1:21" s="35" customFormat="1" ht="26.25">
      <c r="A10" s="677">
        <v>2011</v>
      </c>
      <c r="B10" s="678">
        <v>373</v>
      </c>
      <c r="C10" s="678">
        <v>534</v>
      </c>
      <c r="D10" s="679">
        <v>0</v>
      </c>
      <c r="E10" s="680">
        <f t="shared" si="0"/>
        <v>907</v>
      </c>
      <c r="F10" s="681">
        <f t="shared" si="1"/>
        <v>0.41124586549062847</v>
      </c>
      <c r="G10" s="681">
        <f t="shared" si="2"/>
        <v>0.58875413450937153</v>
      </c>
      <c r="O10" s="889"/>
      <c r="P10" s="889"/>
      <c r="Q10" s="889"/>
      <c r="R10" s="889"/>
      <c r="S10" s="889"/>
      <c r="T10" s="889"/>
      <c r="U10" s="889"/>
    </row>
    <row r="11" spans="1:21" s="35" customFormat="1" ht="26.25">
      <c r="A11" s="677">
        <v>2012</v>
      </c>
      <c r="B11" s="678">
        <v>625</v>
      </c>
      <c r="C11" s="678">
        <v>588</v>
      </c>
      <c r="D11" s="679">
        <v>1</v>
      </c>
      <c r="E11" s="680">
        <f t="shared" si="0"/>
        <v>1214</v>
      </c>
      <c r="F11" s="681">
        <f t="shared" si="1"/>
        <v>0.51482701812191101</v>
      </c>
      <c r="G11" s="681">
        <f t="shared" si="2"/>
        <v>0.48434925864909389</v>
      </c>
      <c r="O11" s="889"/>
      <c r="P11" s="889"/>
      <c r="Q11" s="889"/>
      <c r="R11" s="889"/>
      <c r="S11" s="889"/>
      <c r="T11" s="889"/>
      <c r="U11" s="889"/>
    </row>
    <row r="12" spans="1:21" s="35" customFormat="1" ht="26.25">
      <c r="A12" s="677" t="s">
        <v>444</v>
      </c>
      <c r="B12" s="678">
        <v>1207</v>
      </c>
      <c r="C12" s="678">
        <v>657</v>
      </c>
      <c r="D12" s="679">
        <v>8</v>
      </c>
      <c r="E12" s="680">
        <f t="shared" si="0"/>
        <v>1872</v>
      </c>
      <c r="F12" s="681">
        <f t="shared" si="1"/>
        <v>0.64476495726495731</v>
      </c>
      <c r="G12" s="681">
        <f t="shared" si="2"/>
        <v>0.35096153846153844</v>
      </c>
      <c r="O12" s="889"/>
      <c r="P12" s="889"/>
      <c r="Q12" s="889"/>
      <c r="R12" s="889"/>
      <c r="S12" s="889"/>
      <c r="T12" s="889"/>
      <c r="U12" s="889"/>
    </row>
    <row r="13" spans="1:21" s="35" customFormat="1" ht="26.25">
      <c r="A13" s="677" t="s">
        <v>445</v>
      </c>
      <c r="B13" s="678">
        <v>1003</v>
      </c>
      <c r="C13" s="678">
        <v>706</v>
      </c>
      <c r="D13" s="679">
        <v>7</v>
      </c>
      <c r="E13" s="680">
        <f t="shared" si="0"/>
        <v>1716</v>
      </c>
      <c r="F13" s="681">
        <f t="shared" si="1"/>
        <v>0.58449883449883455</v>
      </c>
      <c r="G13" s="681">
        <f t="shared" si="2"/>
        <v>0.41142191142191142</v>
      </c>
      <c r="O13" s="889"/>
      <c r="P13" s="889"/>
      <c r="Q13" s="889"/>
      <c r="R13" s="889"/>
      <c r="S13" s="889"/>
      <c r="T13" s="889"/>
      <c r="U13" s="889"/>
    </row>
    <row r="14" spans="1:21" s="35" customFormat="1" ht="26.25">
      <c r="A14" s="677" t="s">
        <v>447</v>
      </c>
      <c r="B14" s="678">
        <v>704</v>
      </c>
      <c r="C14" s="678">
        <v>836</v>
      </c>
      <c r="D14" s="679">
        <v>0</v>
      </c>
      <c r="E14" s="680">
        <f t="shared" si="0"/>
        <v>1540</v>
      </c>
      <c r="F14" s="681">
        <f t="shared" si="1"/>
        <v>0.45714285714285713</v>
      </c>
      <c r="G14" s="681">
        <f t="shared" si="2"/>
        <v>0.54285714285714282</v>
      </c>
      <c r="O14" s="889"/>
      <c r="P14" s="889"/>
      <c r="Q14" s="889"/>
      <c r="R14" s="889"/>
      <c r="S14" s="889"/>
      <c r="T14" s="889"/>
      <c r="U14" s="889"/>
    </row>
    <row r="15" spans="1:21" s="35" customFormat="1" ht="26.25">
      <c r="A15" s="677" t="s">
        <v>448</v>
      </c>
      <c r="B15" s="678">
        <v>580</v>
      </c>
      <c r="C15" s="678">
        <v>937</v>
      </c>
      <c r="D15" s="679">
        <v>0</v>
      </c>
      <c r="E15" s="680">
        <f t="shared" si="0"/>
        <v>1517</v>
      </c>
      <c r="F15" s="681">
        <f t="shared" si="1"/>
        <v>0.3823335530652604</v>
      </c>
      <c r="G15" s="681">
        <f t="shared" si="2"/>
        <v>0.6176664469347396</v>
      </c>
      <c r="O15" s="889"/>
      <c r="P15" s="889"/>
      <c r="Q15" s="889"/>
      <c r="R15" s="889"/>
      <c r="S15" s="889"/>
      <c r="T15" s="889"/>
      <c r="U15" s="889"/>
    </row>
    <row r="16" spans="1:21" s="35" customFormat="1" ht="26.25">
      <c r="A16" s="677" t="s">
        <v>449</v>
      </c>
      <c r="B16" s="678">
        <v>660</v>
      </c>
      <c r="C16" s="678">
        <v>933</v>
      </c>
      <c r="D16" s="679">
        <v>0</v>
      </c>
      <c r="E16" s="680">
        <f t="shared" si="0"/>
        <v>1593</v>
      </c>
      <c r="F16" s="681">
        <f t="shared" si="1"/>
        <v>0.4143126177024482</v>
      </c>
      <c r="G16" s="681">
        <f t="shared" si="2"/>
        <v>0.5856873822975518</v>
      </c>
      <c r="O16" s="889"/>
      <c r="P16" s="889"/>
      <c r="Q16" s="889"/>
      <c r="R16" s="889"/>
      <c r="S16" s="889"/>
      <c r="T16" s="889"/>
      <c r="U16" s="889"/>
    </row>
    <row r="17" spans="1:21" s="35" customFormat="1" ht="26.25">
      <c r="A17" s="677" t="s">
        <v>450</v>
      </c>
      <c r="B17" s="678">
        <v>5389</v>
      </c>
      <c r="C17" s="678">
        <v>1073</v>
      </c>
      <c r="D17" s="679">
        <v>0</v>
      </c>
      <c r="E17" s="680">
        <f t="shared" si="0"/>
        <v>6462</v>
      </c>
      <c r="F17" s="681">
        <f t="shared" si="1"/>
        <v>0.83395233673785207</v>
      </c>
      <c r="G17" s="681">
        <f t="shared" si="2"/>
        <v>0.16604766326214795</v>
      </c>
      <c r="O17" s="889"/>
      <c r="P17" s="889"/>
      <c r="Q17" s="889"/>
      <c r="R17" s="889"/>
      <c r="S17" s="889"/>
      <c r="T17" s="889"/>
      <c r="U17" s="889"/>
    </row>
    <row r="18" spans="1:21" s="35" customFormat="1" ht="26.25">
      <c r="A18" s="677" t="s">
        <v>451</v>
      </c>
      <c r="B18" s="678">
        <v>764</v>
      </c>
      <c r="C18" s="678">
        <v>1000</v>
      </c>
      <c r="D18" s="679">
        <v>1</v>
      </c>
      <c r="E18" s="680">
        <f t="shared" ref="E18:E22" si="3">SUM(B18:D18)</f>
        <v>1765</v>
      </c>
      <c r="F18" s="681">
        <f t="shared" si="1"/>
        <v>0.43286118980169974</v>
      </c>
      <c r="G18" s="681">
        <f t="shared" si="2"/>
        <v>0.56657223796033995</v>
      </c>
      <c r="O18" s="889"/>
      <c r="P18" s="889"/>
      <c r="Q18" s="889"/>
      <c r="R18" s="889"/>
      <c r="S18" s="889"/>
      <c r="T18" s="889"/>
      <c r="U18" s="889"/>
    </row>
    <row r="19" spans="1:21" s="35" customFormat="1" ht="26.25">
      <c r="A19" s="682">
        <v>2020</v>
      </c>
      <c r="B19" s="678">
        <v>616</v>
      </c>
      <c r="C19" s="678">
        <v>897</v>
      </c>
      <c r="D19" s="679">
        <v>3</v>
      </c>
      <c r="E19" s="680">
        <f t="shared" si="3"/>
        <v>1516</v>
      </c>
      <c r="F19" s="681">
        <f>B19/E19</f>
        <v>0.40633245382585753</v>
      </c>
      <c r="G19" s="681">
        <f>C19/E19</f>
        <v>0.59168865435356199</v>
      </c>
      <c r="O19" s="889"/>
      <c r="P19" s="889"/>
      <c r="Q19" s="889"/>
      <c r="R19" s="889"/>
      <c r="S19" s="889"/>
      <c r="T19" s="889"/>
      <c r="U19" s="889"/>
    </row>
    <row r="20" spans="1:21" s="35" customFormat="1" ht="26.25">
      <c r="A20" s="682">
        <v>2021</v>
      </c>
      <c r="B20" s="678">
        <v>1030</v>
      </c>
      <c r="C20" s="678">
        <v>1377</v>
      </c>
      <c r="D20" s="679">
        <v>11</v>
      </c>
      <c r="E20" s="680">
        <f t="shared" si="3"/>
        <v>2418</v>
      </c>
      <c r="F20" s="681">
        <f>B20/E20</f>
        <v>0.42597187758478083</v>
      </c>
      <c r="G20" s="681">
        <f>C20/E20</f>
        <v>0.5694789081885856</v>
      </c>
      <c r="O20" s="889"/>
      <c r="P20" s="889"/>
      <c r="Q20" s="889"/>
      <c r="R20" s="889"/>
      <c r="S20" s="889"/>
      <c r="T20" s="889"/>
      <c r="U20" s="889"/>
    </row>
    <row r="21" spans="1:21" s="35" customFormat="1" ht="26.25">
      <c r="A21" s="682">
        <v>2022</v>
      </c>
      <c r="B21" s="678">
        <v>1237</v>
      </c>
      <c r="C21" s="678">
        <v>1226</v>
      </c>
      <c r="D21" s="1789">
        <v>12</v>
      </c>
      <c r="E21" s="680">
        <f t="shared" si="3"/>
        <v>2475</v>
      </c>
      <c r="F21" s="681">
        <f>B21/E21</f>
        <v>0.4997979797979798</v>
      </c>
      <c r="G21" s="681">
        <f>C21/E21</f>
        <v>0.49535353535353538</v>
      </c>
      <c r="O21" s="889"/>
      <c r="P21" s="889"/>
      <c r="Q21" s="889"/>
      <c r="R21" s="889"/>
      <c r="S21" s="889"/>
      <c r="T21" s="889"/>
      <c r="U21" s="889"/>
    </row>
    <row r="22" spans="1:21" s="35" customFormat="1" ht="26.25">
      <c r="A22" s="682">
        <v>2023</v>
      </c>
      <c r="B22" s="678">
        <v>1264</v>
      </c>
      <c r="C22" s="678">
        <v>1339</v>
      </c>
      <c r="D22" s="1789">
        <v>14</v>
      </c>
      <c r="E22" s="680">
        <f t="shared" si="3"/>
        <v>2617</v>
      </c>
      <c r="F22" s="681">
        <f>B22/E22</f>
        <v>0.48299579671379445</v>
      </c>
      <c r="G22" s="681">
        <f>C22/E22</f>
        <v>0.51165456629728701</v>
      </c>
      <c r="O22" s="889"/>
      <c r="P22" s="889"/>
      <c r="Q22" s="889"/>
      <c r="R22" s="889"/>
      <c r="S22" s="889"/>
      <c r="T22" s="889"/>
      <c r="U22" s="889"/>
    </row>
    <row r="23" spans="1:21" s="35" customFormat="1" ht="26.25">
      <c r="A23" s="682">
        <v>2024</v>
      </c>
      <c r="B23" s="678">
        <v>1360</v>
      </c>
      <c r="C23" s="678">
        <v>1517</v>
      </c>
      <c r="D23" s="1789">
        <v>12</v>
      </c>
      <c r="E23" s="680">
        <f t="shared" ref="E23:E24" si="4">SUM(B23:D23)</f>
        <v>2889</v>
      </c>
      <c r="F23" s="681">
        <f t="shared" ref="F23:F24" si="5">B23/E23</f>
        <v>0.47075112495673244</v>
      </c>
      <c r="G23" s="681">
        <f t="shared" ref="G23:G24" si="6">C23/E23</f>
        <v>0.52509518864659055</v>
      </c>
      <c r="O23" s="889"/>
      <c r="P23" s="889"/>
      <c r="Q23" s="889"/>
      <c r="R23" s="889"/>
      <c r="S23" s="889"/>
      <c r="T23" s="889"/>
      <c r="U23" s="889"/>
    </row>
    <row r="24" spans="1:21" s="35" customFormat="1" ht="26.25">
      <c r="A24" s="980" t="str">
        <f>+'Resumen '!O5</f>
        <v>Abr.25</v>
      </c>
      <c r="B24" s="678">
        <f>+'Resumen '!B56</f>
        <v>552</v>
      </c>
      <c r="C24" s="678">
        <f>+'Resumen '!B57</f>
        <v>481</v>
      </c>
      <c r="D24" s="1789">
        <v>7</v>
      </c>
      <c r="E24" s="680">
        <f t="shared" si="4"/>
        <v>1040</v>
      </c>
      <c r="F24" s="681">
        <f t="shared" si="5"/>
        <v>0.53076923076923077</v>
      </c>
      <c r="G24" s="681">
        <f t="shared" si="6"/>
        <v>0.46250000000000002</v>
      </c>
      <c r="O24" s="889"/>
      <c r="P24" s="889"/>
      <c r="Q24" s="889"/>
      <c r="R24" s="889"/>
      <c r="S24" s="889"/>
      <c r="T24" s="889"/>
      <c r="U24" s="889"/>
    </row>
    <row r="25" spans="1:21" s="48" customFormat="1" ht="25.5" customHeight="1">
      <c r="A25" s="670" t="s">
        <v>809</v>
      </c>
      <c r="B25" s="671">
        <f>SUBTOTAL(109,B6:B24)</f>
        <v>18413</v>
      </c>
      <c r="C25" s="672">
        <f>SUBTOTAL(109,C6:C24)</f>
        <v>16262</v>
      </c>
      <c r="D25" s="673">
        <f>SUBTOTAL(109,D6:D24)</f>
        <v>78</v>
      </c>
      <c r="E25" s="674">
        <f>SUBTOTAL(109,E6:E24)</f>
        <v>34753</v>
      </c>
      <c r="F25" s="675">
        <f>AVERAGE(F6:F24)</f>
        <v>0.46488889577405862</v>
      </c>
      <c r="G25" s="675">
        <f>AVERAGE(G6:G24)</f>
        <v>0.53299369608637759</v>
      </c>
      <c r="H25" s="35"/>
      <c r="O25" s="889"/>
      <c r="P25" s="889"/>
      <c r="Q25" s="889"/>
      <c r="R25" s="889"/>
      <c r="S25" s="889"/>
      <c r="T25" s="889"/>
      <c r="U25" s="889"/>
    </row>
    <row r="26" spans="1:21" ht="93" customHeight="1">
      <c r="A26" s="2353" t="s">
        <v>1139</v>
      </c>
      <c r="B26" s="2354"/>
      <c r="C26" s="2354"/>
      <c r="D26" s="2354"/>
      <c r="E26" s="2354"/>
      <c r="F26" s="2354"/>
      <c r="G26" s="2354"/>
      <c r="O26" s="889"/>
      <c r="P26" s="889"/>
      <c r="Q26" s="889"/>
      <c r="R26" s="889"/>
      <c r="S26" s="889"/>
      <c r="T26" s="889"/>
      <c r="U26" s="889"/>
    </row>
    <row r="27" spans="1:21" ht="26.25">
      <c r="B27" s="109"/>
      <c r="C27" s="109"/>
      <c r="O27" s="889"/>
      <c r="P27" s="889"/>
      <c r="Q27" s="889"/>
      <c r="R27" s="889"/>
      <c r="S27" s="889"/>
      <c r="T27" s="889"/>
      <c r="U27" s="889"/>
    </row>
    <row r="28" spans="1:21" ht="26.25">
      <c r="O28" s="890"/>
      <c r="P28" s="890"/>
      <c r="Q28" s="890"/>
      <c r="R28" s="890"/>
      <c r="S28" s="889"/>
      <c r="T28" s="889"/>
      <c r="U28" s="889"/>
    </row>
    <row r="29" spans="1:21" ht="26.25">
      <c r="B29" s="81"/>
      <c r="C29" s="81"/>
      <c r="O29" s="889"/>
      <c r="P29" s="889"/>
      <c r="Q29" s="889"/>
      <c r="R29" s="889"/>
      <c r="S29" s="889"/>
      <c r="T29" s="889"/>
      <c r="U29" s="889"/>
    </row>
    <row r="30" spans="1:21" ht="26.25">
      <c r="O30" s="890"/>
      <c r="P30" s="890"/>
      <c r="Q30" s="890"/>
      <c r="R30" s="890"/>
      <c r="S30" s="889"/>
      <c r="T30" s="889"/>
      <c r="U30" s="889"/>
    </row>
    <row r="31" spans="1:21" ht="26.25">
      <c r="O31" s="889"/>
      <c r="P31" s="889"/>
      <c r="Q31" s="889"/>
      <c r="R31" s="889"/>
      <c r="S31" s="889"/>
      <c r="T31" s="889"/>
      <c r="U31" s="889"/>
    </row>
    <row r="32" spans="1:21" ht="26.25">
      <c r="O32" s="889"/>
      <c r="P32" s="889"/>
      <c r="Q32" s="889"/>
      <c r="R32" s="889"/>
      <c r="S32" s="889"/>
      <c r="T32" s="889"/>
      <c r="U32" s="889"/>
    </row>
    <row r="33" spans="15:21" ht="26.25">
      <c r="O33" s="889"/>
      <c r="P33" s="889"/>
      <c r="Q33" s="889"/>
      <c r="R33" s="889"/>
      <c r="S33" s="889"/>
      <c r="T33" s="889"/>
      <c r="U33" s="889"/>
    </row>
    <row r="34" spans="15:21" ht="26.25">
      <c r="O34" s="889"/>
      <c r="P34" s="889"/>
      <c r="Q34" s="889"/>
      <c r="R34" s="889"/>
      <c r="S34" s="889"/>
      <c r="T34" s="889"/>
      <c r="U34" s="889"/>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13">
    <tabColor rgb="FF00B050"/>
    <pageSetUpPr fitToPage="1"/>
  </sheetPr>
  <dimension ref="A1:J10"/>
  <sheetViews>
    <sheetView showGridLines="0" view="pageBreakPreview" topLeftCell="A6" zoomScale="55" zoomScaleNormal="100" zoomScaleSheetLayoutView="55" workbookViewId="0">
      <selection activeCell="K8" sqref="K8"/>
    </sheetView>
  </sheetViews>
  <sheetFormatPr defaultColWidth="11.42578125" defaultRowHeight="15"/>
  <cols>
    <col min="1" max="1" width="90.5703125" customWidth="1"/>
    <col min="2" max="2" width="32.42578125" customWidth="1"/>
    <col min="6" max="6" width="18" customWidth="1"/>
    <col min="8" max="8" width="18" customWidth="1"/>
  </cols>
  <sheetData>
    <row r="1" spans="1:10" s="540" customFormat="1" ht="67.5" customHeight="1">
      <c r="A1" s="2185" t="s">
        <v>1140</v>
      </c>
      <c r="B1" s="2185"/>
      <c r="C1" s="2185"/>
      <c r="D1" s="2185"/>
      <c r="E1" s="2185"/>
      <c r="F1" s="2185"/>
      <c r="G1" s="2185"/>
      <c r="H1" s="2185"/>
      <c r="I1" s="2185"/>
      <c r="J1" s="2185"/>
    </row>
    <row r="2" spans="1:10" s="540" customFormat="1" ht="31.5" customHeight="1">
      <c r="A2" s="2185" t="str">
        <f>+'Resumen '!O10</f>
        <v>Período: Abril 2025</v>
      </c>
      <c r="B2" s="2185"/>
      <c r="C2" s="2185"/>
      <c r="D2" s="2185"/>
      <c r="E2" s="2185"/>
      <c r="F2" s="2185"/>
      <c r="G2" s="2185"/>
      <c r="H2" s="2185"/>
      <c r="I2" s="2185"/>
      <c r="J2" s="2185"/>
    </row>
    <row r="3" spans="1:10" ht="14.25" customHeight="1">
      <c r="A3" s="2355"/>
      <c r="B3" s="2355"/>
    </row>
    <row r="4" spans="1:10" ht="27" customHeight="1">
      <c r="A4" s="891" t="s">
        <v>1103</v>
      </c>
      <c r="B4" s="892" t="s">
        <v>1104</v>
      </c>
      <c r="H4" t="s">
        <v>1</v>
      </c>
    </row>
    <row r="5" spans="1:10" ht="26.25">
      <c r="A5" s="893" t="s">
        <v>1141</v>
      </c>
      <c r="B5" s="894">
        <v>13361</v>
      </c>
    </row>
    <row r="6" spans="1:10" ht="26.25">
      <c r="A6" s="893" t="s">
        <v>1142</v>
      </c>
      <c r="B6" s="894">
        <v>4846</v>
      </c>
    </row>
    <row r="7" spans="1:10" ht="26.25">
      <c r="A7" s="893" t="s">
        <v>1143</v>
      </c>
      <c r="B7" s="894">
        <v>16262</v>
      </c>
    </row>
    <row r="8" spans="1:10" ht="26.25">
      <c r="A8" s="893" t="s">
        <v>1144</v>
      </c>
      <c r="B8" s="1447">
        <v>39362.04</v>
      </c>
    </row>
    <row r="9" spans="1:10" ht="18">
      <c r="A9" s="2356" t="s">
        <v>1145</v>
      </c>
      <c r="B9" s="2356"/>
    </row>
    <row r="10" spans="1:10" ht="18">
      <c r="A10" s="2356"/>
      <c r="B10" s="2356"/>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16">
    <pageSetUpPr fitToPage="1"/>
  </sheetPr>
  <dimension ref="A4:S41"/>
  <sheetViews>
    <sheetView showGridLines="0" view="pageBreakPreview" zoomScale="55" zoomScaleNormal="85" zoomScaleSheetLayoutView="55" workbookViewId="0">
      <selection activeCell="K42" sqref="K42"/>
    </sheetView>
  </sheetViews>
  <sheetFormatPr defaultColWidth="11.42578125" defaultRowHeight="20.25"/>
  <cols>
    <col min="1" max="1" width="20.5703125" style="307" customWidth="1"/>
    <col min="2" max="2" width="18.5703125" style="307" customWidth="1"/>
    <col min="3" max="4" width="33.7109375" style="307" customWidth="1"/>
    <col min="5" max="5" width="14.7109375" style="307" customWidth="1"/>
    <col min="6" max="6" width="22.5703125" style="307" customWidth="1"/>
    <col min="7" max="7" width="21.28515625" style="307" customWidth="1"/>
    <col min="8" max="9" width="25.7109375" style="307" customWidth="1"/>
    <col min="10" max="10" width="14.7109375" style="307" customWidth="1"/>
    <col min="11" max="11" width="25.5703125" style="354" customWidth="1"/>
    <col min="12" max="12" width="15.5703125" style="307" customWidth="1"/>
    <col min="13" max="13" width="18.5703125" style="625" customWidth="1"/>
    <col min="14" max="14" width="41" style="334" customWidth="1"/>
    <col min="15" max="15" width="38" style="626" customWidth="1"/>
    <col min="16" max="16" width="17.85546875" style="334" customWidth="1"/>
    <col min="17" max="17" width="13.140625" style="334" bestFit="1" customWidth="1"/>
    <col min="18" max="19" width="11.42578125" style="334"/>
    <col min="20" max="16384" width="11.42578125" style="307"/>
  </cols>
  <sheetData>
    <row r="4" spans="1:14" ht="32.25" customHeight="1"/>
    <row r="5" spans="1:14" ht="36.75" customHeight="1">
      <c r="K5" s="1394"/>
      <c r="L5" s="1116"/>
      <c r="M5" s="628">
        <f>+'V.4.2.NA. Reportes ARL'!D24</f>
        <v>621092</v>
      </c>
      <c r="N5" s="334" t="s">
        <v>1146</v>
      </c>
    </row>
    <row r="6" spans="1:14" ht="30" customHeight="1">
      <c r="A6" s="2357" t="s">
        <v>1147</v>
      </c>
      <c r="B6" s="2357"/>
      <c r="C6" s="2357"/>
      <c r="D6" s="2357"/>
      <c r="E6" s="2357"/>
      <c r="F6" s="2357"/>
      <c r="G6" s="2357"/>
      <c r="H6" s="2357"/>
      <c r="I6" s="2357"/>
      <c r="J6" s="2357"/>
      <c r="K6" s="1394"/>
      <c r="L6" s="1116"/>
      <c r="M6" s="629">
        <f>+'V.4.2.NA. Reportes ARL'!E24</f>
        <v>0.96234398911457364</v>
      </c>
      <c r="N6" s="334" t="str">
        <f>+'V.4.2.NA. Reportes ARL'!E4</f>
        <v>% Accidentes Laborales</v>
      </c>
    </row>
    <row r="7" spans="1:14" ht="30">
      <c r="A7" s="2357"/>
      <c r="B7" s="2357"/>
      <c r="C7" s="2357"/>
      <c r="D7" s="2357"/>
      <c r="E7" s="2357"/>
      <c r="F7" s="2357"/>
      <c r="G7" s="2357"/>
      <c r="H7" s="2357"/>
      <c r="I7" s="2357"/>
      <c r="J7" s="2357"/>
      <c r="K7" s="1394"/>
      <c r="L7" s="1116"/>
      <c r="M7" s="629">
        <f>+'V.4.2.NA. Reportes ARL'!F24</f>
        <v>3.7656010885426416E-2</v>
      </c>
      <c r="N7" s="334" t="str">
        <f>+'V.4.2.NA. Reportes ARL'!F4</f>
        <v>% Enfermedades Profesionales</v>
      </c>
    </row>
    <row r="8" spans="1:14" ht="30">
      <c r="A8" s="2357"/>
      <c r="B8" s="2357"/>
      <c r="C8" s="2357"/>
      <c r="D8" s="2357"/>
      <c r="E8" s="2357"/>
      <c r="F8" s="2357"/>
      <c r="G8" s="2357"/>
      <c r="H8" s="2357"/>
      <c r="I8" s="2357"/>
      <c r="J8" s="2357"/>
      <c r="K8" s="1394"/>
      <c r="L8" s="1116"/>
      <c r="M8" s="630">
        <f>+'V.4.2.NA. Reportes ARL'!M25</f>
        <v>7.479608683762215E-2</v>
      </c>
      <c r="N8" s="334" t="s">
        <v>1148</v>
      </c>
    </row>
    <row r="9" spans="1:14" ht="30">
      <c r="A9" s="2357"/>
      <c r="B9" s="2357"/>
      <c r="C9" s="2357"/>
      <c r="D9" s="2357"/>
      <c r="E9" s="2357"/>
      <c r="F9" s="2357"/>
      <c r="G9" s="2357"/>
      <c r="H9" s="2357"/>
      <c r="I9" s="2357"/>
      <c r="J9" s="2357"/>
      <c r="K9" s="1394"/>
      <c r="L9" s="1116"/>
      <c r="M9" s="629">
        <f>+'V.4.4.NA.Cant. accid x Prov'!I36+'V.4.4.NA.Cant. accid x Prov'!I37+'V.4.4.NA.Cant. accid x Prov'!I5+'V.4.4.NA.Cant. accid x Prov'!I6</f>
        <v>1.4917226433443032</v>
      </c>
    </row>
    <row r="10" spans="1:14" ht="30">
      <c r="A10" s="2357"/>
      <c r="B10" s="2357"/>
      <c r="C10" s="2357"/>
      <c r="D10" s="2357"/>
      <c r="E10" s="2357"/>
      <c r="F10" s="2357"/>
      <c r="G10" s="2357"/>
      <c r="H10" s="2357"/>
      <c r="I10" s="2357"/>
      <c r="J10" s="2357"/>
      <c r="K10" s="1394"/>
      <c r="L10" s="1116"/>
      <c r="M10" s="334"/>
    </row>
    <row r="11" spans="1:14" ht="30">
      <c r="A11" s="2357"/>
      <c r="B11" s="2357"/>
      <c r="C11" s="2357"/>
      <c r="D11" s="2357"/>
      <c r="E11" s="2357"/>
      <c r="F11" s="2357"/>
      <c r="G11" s="2357"/>
      <c r="H11" s="2357"/>
      <c r="I11" s="2357"/>
      <c r="J11" s="2357"/>
      <c r="K11" s="1394"/>
      <c r="L11" s="631"/>
      <c r="M11" s="631">
        <f>+'V.4.2.NA. Reportes ARL'!D23</f>
        <v>16749</v>
      </c>
      <c r="N11" s="334" t="s">
        <v>1149</v>
      </c>
    </row>
    <row r="12" spans="1:14" ht="20.25" customHeight="1">
      <c r="A12" s="2357"/>
      <c r="B12" s="2357"/>
      <c r="C12" s="2357"/>
      <c r="D12" s="2357"/>
      <c r="E12" s="2357"/>
      <c r="F12" s="2357"/>
      <c r="G12" s="2357"/>
      <c r="H12" s="2357"/>
      <c r="I12" s="2357"/>
      <c r="J12" s="2357"/>
      <c r="M12" s="629">
        <f>+'V.4.6. Accid x sexo'!B23/'V.4.6. Accid x sexo'!D23</f>
        <v>0.39309809540868113</v>
      </c>
      <c r="N12" s="334" t="s">
        <v>239</v>
      </c>
    </row>
    <row r="13" spans="1:14" ht="20.25" customHeight="1">
      <c r="A13" s="2357"/>
      <c r="B13" s="2357"/>
      <c r="C13" s="2357"/>
      <c r="D13" s="2357"/>
      <c r="E13" s="2357"/>
      <c r="F13" s="2357"/>
      <c r="G13" s="2357"/>
      <c r="H13" s="2357"/>
      <c r="I13" s="2357"/>
      <c r="J13" s="2357"/>
      <c r="M13" s="629">
        <f>+'V.4.6. Accid x sexo'!C23/'V.4.6. Accid x sexo'!D23</f>
        <v>0.60690190459131887</v>
      </c>
      <c r="N13" s="334" t="s">
        <v>238</v>
      </c>
    </row>
    <row r="14" spans="1:14">
      <c r="A14" s="2357"/>
      <c r="B14" s="2357"/>
      <c r="C14" s="2357"/>
      <c r="D14" s="2357"/>
      <c r="E14" s="2357"/>
      <c r="F14" s="2357"/>
      <c r="G14" s="2357"/>
      <c r="H14" s="2357"/>
      <c r="I14" s="2357"/>
      <c r="J14" s="2357"/>
      <c r="M14" s="627"/>
    </row>
    <row r="15" spans="1:14" ht="30">
      <c r="A15" s="2357"/>
      <c r="B15" s="2357"/>
      <c r="C15" s="2357"/>
      <c r="D15" s="2357"/>
      <c r="E15" s="2357"/>
      <c r="F15" s="2357"/>
      <c r="G15" s="2357"/>
      <c r="H15" s="2357"/>
      <c r="I15" s="2357"/>
      <c r="J15" s="2357"/>
      <c r="K15" s="1394"/>
      <c r="L15" s="1116"/>
    </row>
    <row r="16" spans="1:14" ht="30">
      <c r="A16" s="2357"/>
      <c r="B16" s="2357"/>
      <c r="C16" s="2357"/>
      <c r="D16" s="2357"/>
      <c r="E16" s="2357"/>
      <c r="F16" s="2357"/>
      <c r="G16" s="2357"/>
      <c r="H16" s="2357"/>
      <c r="I16" s="2357"/>
      <c r="J16" s="2357"/>
      <c r="K16" s="1394"/>
      <c r="L16" s="1116"/>
    </row>
    <row r="17" spans="1:15" ht="30">
      <c r="A17" s="2357"/>
      <c r="B17" s="2357"/>
      <c r="C17" s="2357"/>
      <c r="D17" s="2357"/>
      <c r="E17" s="2357"/>
      <c r="F17" s="2357"/>
      <c r="G17" s="2357"/>
      <c r="H17" s="2357"/>
      <c r="I17" s="2357"/>
      <c r="J17" s="2357"/>
      <c r="K17" s="1394"/>
      <c r="L17" s="1116"/>
    </row>
    <row r="18" spans="1:15" ht="30">
      <c r="A18" s="2357"/>
      <c r="B18" s="2357"/>
      <c r="C18" s="2357"/>
      <c r="D18" s="2357"/>
      <c r="E18" s="2357"/>
      <c r="F18" s="2357"/>
      <c r="G18" s="2357"/>
      <c r="H18" s="2357"/>
      <c r="I18" s="2357"/>
      <c r="J18" s="2357"/>
      <c r="K18" s="1394"/>
      <c r="L18" s="1116"/>
    </row>
    <row r="19" spans="1:15" ht="30">
      <c r="A19" s="2357"/>
      <c r="B19" s="2357"/>
      <c r="C19" s="2357"/>
      <c r="D19" s="2357"/>
      <c r="E19" s="2357"/>
      <c r="F19" s="2357"/>
      <c r="G19" s="2357"/>
      <c r="H19" s="2357"/>
      <c r="I19" s="2357"/>
      <c r="J19" s="2357"/>
      <c r="K19" s="1394"/>
      <c r="L19" s="1116"/>
      <c r="M19" s="629"/>
    </row>
    <row r="20" spans="1:15" ht="30">
      <c r="A20" s="2357"/>
      <c r="B20" s="2357"/>
      <c r="C20" s="2357"/>
      <c r="D20" s="2357"/>
      <c r="E20" s="2357"/>
      <c r="F20" s="2357"/>
      <c r="G20" s="2357"/>
      <c r="H20" s="2357"/>
      <c r="I20" s="2357"/>
      <c r="J20" s="2357"/>
      <c r="K20" s="1394"/>
      <c r="L20" s="1116"/>
      <c r="M20" s="632">
        <f>+Tabla51[[#Totals],[Menor de 20 años]]</f>
        <v>3.1122603414631004E-3</v>
      </c>
      <c r="N20" s="633" t="s">
        <v>1150</v>
      </c>
    </row>
    <row r="21" spans="1:15" ht="30">
      <c r="A21" s="2357"/>
      <c r="B21" s="2357"/>
      <c r="C21" s="2357"/>
      <c r="D21" s="2357"/>
      <c r="E21" s="2357"/>
      <c r="F21" s="2357"/>
      <c r="G21" s="2357"/>
      <c r="H21" s="2357"/>
      <c r="I21" s="2357"/>
      <c r="J21" s="2357"/>
      <c r="K21" s="1394"/>
      <c r="L21" s="1116"/>
      <c r="M21" s="632">
        <f>+Tabla51[[#Totals],[Mayor o igual a 60 años]]</f>
        <v>5.0908722057279761E-2</v>
      </c>
      <c r="N21" s="633" t="s">
        <v>1151</v>
      </c>
    </row>
    <row r="22" spans="1:15">
      <c r="A22" s="2357"/>
      <c r="B22" s="2357"/>
      <c r="C22" s="2357"/>
      <c r="D22" s="2357"/>
      <c r="E22" s="2357"/>
      <c r="F22" s="2357"/>
      <c r="G22" s="2357"/>
      <c r="H22" s="2357"/>
      <c r="I22" s="2357"/>
      <c r="J22" s="2357"/>
    </row>
    <row r="23" spans="1:15">
      <c r="A23" s="2357"/>
      <c r="B23" s="2357"/>
      <c r="C23" s="2357"/>
      <c r="D23" s="2357"/>
      <c r="E23" s="2357"/>
      <c r="F23" s="2357"/>
      <c r="G23" s="2357"/>
      <c r="H23" s="2357"/>
      <c r="I23" s="2357"/>
      <c r="J23" s="2357"/>
    </row>
    <row r="24" spans="1:15">
      <c r="A24" s="2357"/>
      <c r="B24" s="2357"/>
      <c r="C24" s="2357"/>
      <c r="D24" s="2357"/>
      <c r="E24" s="2357"/>
      <c r="F24" s="2357"/>
      <c r="G24" s="2357"/>
      <c r="H24" s="2357"/>
      <c r="I24" s="2357"/>
      <c r="J24" s="2357"/>
    </row>
    <row r="25" spans="1:15">
      <c r="A25" s="2357"/>
      <c r="B25" s="2357"/>
      <c r="C25" s="2357"/>
      <c r="D25" s="2357"/>
      <c r="E25" s="2357"/>
      <c r="F25" s="2357"/>
      <c r="G25" s="2357"/>
      <c r="H25" s="2357"/>
      <c r="I25" s="2357"/>
      <c r="J25" s="2357"/>
    </row>
    <row r="26" spans="1:15">
      <c r="A26" s="2357"/>
      <c r="B26" s="2357"/>
      <c r="C26" s="2357"/>
      <c r="D26" s="2357"/>
      <c r="E26" s="2357"/>
      <c r="F26" s="2357"/>
      <c r="G26" s="2357"/>
      <c r="H26" s="2357"/>
      <c r="I26" s="2357"/>
      <c r="J26" s="2357"/>
    </row>
    <row r="27" spans="1:15">
      <c r="A27" s="2357"/>
      <c r="B27" s="2357"/>
      <c r="C27" s="2357"/>
      <c r="D27" s="2357"/>
      <c r="E27" s="2357"/>
      <c r="F27" s="2357"/>
      <c r="G27" s="2357"/>
      <c r="H27" s="2357"/>
      <c r="I27" s="2357"/>
      <c r="J27" s="2357"/>
    </row>
    <row r="28" spans="1:15">
      <c r="A28" s="2357"/>
      <c r="B28" s="2357"/>
      <c r="C28" s="2357"/>
      <c r="D28" s="2357"/>
      <c r="E28" s="2357"/>
      <c r="F28" s="2357"/>
      <c r="G28" s="2357"/>
      <c r="H28" s="2357"/>
      <c r="I28" s="2357"/>
      <c r="J28" s="2357"/>
      <c r="K28" s="1471">
        <f>+'V.4.2.NA. Reportes ARL'!E24</f>
        <v>0.96234398911457364</v>
      </c>
    </row>
    <row r="29" spans="1:15">
      <c r="A29" s="2357"/>
      <c r="B29" s="2357"/>
      <c r="C29" s="2357"/>
      <c r="D29" s="2357"/>
      <c r="E29" s="2357"/>
      <c r="F29" s="2357"/>
      <c r="G29" s="2357"/>
      <c r="H29" s="2357"/>
      <c r="I29" s="2357"/>
      <c r="J29" s="2357"/>
      <c r="K29" s="1471">
        <f>+'V.4.2.NA. Reportes ARL'!F24</f>
        <v>3.7656010885426416E-2</v>
      </c>
    </row>
    <row r="30" spans="1:15">
      <c r="A30" s="2357"/>
      <c r="B30" s="2357"/>
      <c r="C30" s="2357"/>
      <c r="D30" s="2357"/>
      <c r="E30" s="2357"/>
      <c r="F30" s="2357"/>
      <c r="G30" s="2357"/>
      <c r="H30" s="2357"/>
      <c r="I30" s="2357"/>
      <c r="J30" s="2357"/>
      <c r="K30" s="355"/>
      <c r="N30" s="625" t="str">
        <f>+'V.4.2.NA. Reportes ARL'!A23</f>
        <v>Abr.2025</v>
      </c>
      <c r="O30" s="625" t="s">
        <v>1152</v>
      </c>
    </row>
    <row r="31" spans="1:15">
      <c r="A31" s="2357"/>
      <c r="B31" s="2357"/>
      <c r="C31" s="2357"/>
      <c r="D31" s="2357"/>
      <c r="E31" s="2357"/>
      <c r="F31" s="2357"/>
      <c r="G31" s="2357"/>
      <c r="H31" s="2357"/>
      <c r="I31" s="2357"/>
      <c r="J31" s="2357"/>
      <c r="M31" s="1395" t="str">
        <f>+'V.4.2.NA. Reportes ARL'!B4</f>
        <v>Accidentes de Trabajo</v>
      </c>
      <c r="N31" s="631">
        <f>+'V.4.2.NA. Reportes ARL'!B23</f>
        <v>16603</v>
      </c>
      <c r="O31" s="626">
        <f>+'V.4.2.NA. Reportes ARL'!B24</f>
        <v>592467</v>
      </c>
    </row>
    <row r="32" spans="1:15">
      <c r="A32" s="2357"/>
      <c r="B32" s="2357"/>
      <c r="C32" s="2357"/>
      <c r="D32" s="2357"/>
      <c r="E32" s="2357"/>
      <c r="F32" s="2357"/>
      <c r="G32" s="2357"/>
      <c r="H32" s="2357"/>
      <c r="I32" s="2357"/>
      <c r="J32" s="2357"/>
      <c r="K32" s="484">
        <f>+'V.4.2.NA. Reportes ARL'!D23</f>
        <v>16749</v>
      </c>
      <c r="M32" s="1395" t="str">
        <f>+'V.4.2.NA. Reportes ARL'!C4</f>
        <v>Enfermedades Profesionales</v>
      </c>
      <c r="N32" s="631">
        <f>+'V.4.2.NA. Reportes ARL'!C23</f>
        <v>146</v>
      </c>
      <c r="O32" s="626">
        <f>+'V.4.2.NA. Reportes ARL'!C24</f>
        <v>28625</v>
      </c>
    </row>
    <row r="33" spans="1:15" ht="30">
      <c r="A33" s="2357"/>
      <c r="B33" s="2357"/>
      <c r="C33" s="2357"/>
      <c r="D33" s="2357"/>
      <c r="E33" s="2357"/>
      <c r="F33" s="2357"/>
      <c r="G33" s="2357"/>
      <c r="H33" s="2357"/>
      <c r="I33" s="2357"/>
      <c r="J33" s="2357"/>
      <c r="M33" s="1394"/>
      <c r="N33" s="631">
        <f>+'V.4.2.NA. Reportes ARL'!D23</f>
        <v>16749</v>
      </c>
      <c r="O33" s="626">
        <f>+'V.4.2.NA. Reportes ARL'!D24</f>
        <v>621092</v>
      </c>
    </row>
    <row r="34" spans="1:15">
      <c r="A34" s="2357"/>
      <c r="B34" s="2357"/>
      <c r="C34" s="2357"/>
      <c r="D34" s="2357"/>
      <c r="E34" s="2357"/>
      <c r="F34" s="2357"/>
      <c r="G34" s="2357"/>
      <c r="H34" s="2357"/>
      <c r="I34" s="2357"/>
      <c r="J34" s="2357"/>
    </row>
    <row r="35" spans="1:15">
      <c r="A35" s="2357"/>
      <c r="B35" s="2357"/>
      <c r="C35" s="2357"/>
      <c r="D35" s="2357"/>
      <c r="E35" s="2357"/>
      <c r="F35" s="2357"/>
      <c r="G35" s="2357"/>
      <c r="H35" s="2357"/>
      <c r="I35" s="2357"/>
      <c r="J35" s="2357"/>
      <c r="M35" s="629">
        <f>+'V.4.5. NA.Cant. accid x sector'!E24</f>
        <v>0.1697351084820867</v>
      </c>
      <c r="N35" s="334" t="str">
        <f>+'V.4.5. NA.Cant. accid x sector'!E4</f>
        <v>% Público</v>
      </c>
    </row>
    <row r="36" spans="1:15">
      <c r="A36" s="2357"/>
      <c r="B36" s="2357"/>
      <c r="C36" s="2357"/>
      <c r="D36" s="2357"/>
      <c r="E36" s="2357"/>
      <c r="F36" s="2357"/>
      <c r="G36" s="2357"/>
      <c r="H36" s="2357"/>
      <c r="I36" s="2357"/>
      <c r="J36" s="2357"/>
      <c r="M36" s="629">
        <f>+'V.4.5. NA.Cant. accid x sector'!F24</f>
        <v>0.83026489151791338</v>
      </c>
      <c r="N36" s="334" t="str">
        <f>+'V.4.5. NA.Cant. accid x sector'!F4</f>
        <v>% Privado</v>
      </c>
    </row>
    <row r="37" spans="1:15">
      <c r="A37" s="2357"/>
      <c r="B37" s="2357"/>
      <c r="C37" s="2357"/>
      <c r="D37" s="2357"/>
      <c r="E37" s="2357"/>
      <c r="F37" s="2357"/>
      <c r="G37" s="2357"/>
      <c r="H37" s="2357"/>
      <c r="I37" s="2357"/>
      <c r="J37" s="2357"/>
      <c r="M37" s="629">
        <f>+'V.4.6. Accid x sexo'!E24</f>
        <v>0.32500616042222646</v>
      </c>
      <c r="N37" s="334" t="str">
        <f>+'V.4.6. Accid x sexo'!E4</f>
        <v>% Femenino</v>
      </c>
    </row>
    <row r="38" spans="1:15">
      <c r="A38" s="2357"/>
      <c r="B38" s="2357"/>
      <c r="C38" s="2357"/>
      <c r="D38" s="2357"/>
      <c r="E38" s="2357"/>
      <c r="F38" s="2357"/>
      <c r="G38" s="2357"/>
      <c r="H38" s="2357"/>
      <c r="I38" s="2357"/>
      <c r="J38" s="2357"/>
      <c r="M38" s="629">
        <f>+'V.4.6. Accid x sexo'!F24</f>
        <v>0.67499383957777348</v>
      </c>
      <c r="N38" s="334" t="str">
        <f>+'V.4.6. Accid x sexo'!F4</f>
        <v>% Masculino</v>
      </c>
    </row>
    <row r="39" spans="1:15">
      <c r="A39" s="2357"/>
      <c r="B39" s="2357"/>
      <c r="C39" s="2357"/>
      <c r="D39" s="2357"/>
      <c r="E39" s="2357"/>
      <c r="F39" s="2357"/>
      <c r="G39" s="2357"/>
      <c r="H39" s="2357"/>
      <c r="I39" s="2357"/>
      <c r="J39" s="2357"/>
    </row>
    <row r="40" spans="1:15">
      <c r="A40" s="2357"/>
      <c r="B40" s="2357"/>
      <c r="C40" s="2357"/>
      <c r="D40" s="2357"/>
      <c r="E40" s="2357"/>
      <c r="F40" s="2357"/>
      <c r="G40" s="2357"/>
      <c r="H40" s="2357"/>
      <c r="I40" s="2357"/>
      <c r="J40" s="2357"/>
    </row>
    <row r="41" spans="1:15">
      <c r="A41" s="2357"/>
      <c r="B41" s="2357"/>
      <c r="C41" s="2357"/>
      <c r="D41" s="2357"/>
      <c r="E41" s="2357"/>
      <c r="F41" s="2357"/>
      <c r="G41" s="2357"/>
      <c r="H41" s="2357"/>
      <c r="I41" s="2357"/>
      <c r="J41" s="2357"/>
    </row>
  </sheetData>
  <mergeCells count="1">
    <mergeCell ref="A6:J41"/>
  </mergeCells>
  <pageMargins left="0.70866141732283472" right="0.70866141732283472" top="0.74803149606299213" bottom="0.74803149606299213" header="0.31496062992125984" footer="0.31496062992125984"/>
  <pageSetup paperSize="119" scale="5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17">
    <tabColor rgb="FF66FF33"/>
    <pageSetUpPr fitToPage="1"/>
  </sheetPr>
  <dimension ref="A1:T37"/>
  <sheetViews>
    <sheetView showGridLines="0" view="pageBreakPreview" zoomScale="70" zoomScaleNormal="100" zoomScaleSheetLayoutView="70" workbookViewId="0">
      <selection activeCell="B23" sqref="B23"/>
    </sheetView>
  </sheetViews>
  <sheetFormatPr defaultColWidth="11.42578125" defaultRowHeight="14.25"/>
  <cols>
    <col min="1" max="1" width="21.28515625" style="307" customWidth="1"/>
    <col min="2" max="2" width="21.28515625" style="337" customWidth="1"/>
    <col min="3" max="3" width="25.140625" style="337" customWidth="1"/>
    <col min="4" max="4" width="20.42578125" style="337" customWidth="1"/>
    <col min="5" max="5" width="25.85546875" style="337" customWidth="1"/>
    <col min="6" max="6" width="27.140625" style="337" customWidth="1"/>
    <col min="7" max="7" width="18.28515625" style="307" customWidth="1"/>
    <col min="8" max="9" width="23.42578125" style="307" customWidth="1"/>
    <col min="10" max="10" width="19.5703125" style="307" customWidth="1"/>
    <col min="11" max="11" width="3.7109375" style="307" customWidth="1"/>
    <col min="12" max="12" width="11.42578125" style="307"/>
    <col min="13" max="13" width="14.28515625" style="307" customWidth="1"/>
    <col min="14" max="14" width="11.42578125" style="307"/>
    <col min="15" max="15" width="17.5703125" style="307" customWidth="1"/>
    <col min="16" max="16384" width="11.42578125" style="307"/>
  </cols>
  <sheetData>
    <row r="1" spans="1:20" s="541" customFormat="1" ht="74.25" customHeight="1">
      <c r="A1" s="2358" t="s">
        <v>1153</v>
      </c>
      <c r="B1" s="2359"/>
      <c r="C1" s="2359"/>
      <c r="D1" s="2359"/>
      <c r="E1" s="2359"/>
      <c r="F1" s="2359"/>
      <c r="G1" s="2359"/>
      <c r="H1" s="2359"/>
      <c r="I1" s="2359"/>
      <c r="J1" s="2360"/>
    </row>
    <row r="2" spans="1:20" s="541" customFormat="1" ht="30" customHeight="1">
      <c r="A2" s="2361" t="str">
        <f>+'Resumen '!O2</f>
        <v>Período:  Diciembre 2007 - Abril 2025</v>
      </c>
      <c r="B2" s="2362"/>
      <c r="C2" s="2362"/>
      <c r="D2" s="2362"/>
      <c r="E2" s="2362"/>
      <c r="F2" s="2362"/>
      <c r="G2" s="2362"/>
      <c r="H2" s="2362"/>
      <c r="I2" s="2362"/>
      <c r="J2" s="2363"/>
    </row>
    <row r="3" spans="1:20" ht="9.75" customHeight="1">
      <c r="A3" s="429"/>
      <c r="B3" s="429"/>
      <c r="C3" s="429"/>
      <c r="D3" s="429"/>
      <c r="E3" s="429"/>
      <c r="F3" s="429"/>
      <c r="G3" s="429"/>
      <c r="H3" s="429"/>
      <c r="I3" s="429"/>
      <c r="J3" s="429"/>
    </row>
    <row r="4" spans="1:20" ht="45" customHeight="1" thickBot="1">
      <c r="A4" s="634" t="s">
        <v>371</v>
      </c>
      <c r="B4" s="635" t="s">
        <v>1154</v>
      </c>
      <c r="C4" s="635" t="s">
        <v>1155</v>
      </c>
      <c r="D4" s="636" t="s">
        <v>1156</v>
      </c>
      <c r="E4" s="635" t="s">
        <v>1157</v>
      </c>
      <c r="F4" s="637" t="s">
        <v>1158</v>
      </c>
      <c r="O4" s="1902" t="s">
        <v>1159</v>
      </c>
      <c r="P4" s="1903" t="s">
        <v>774</v>
      </c>
      <c r="Q4" s="1903" t="s">
        <v>775</v>
      </c>
      <c r="R4" s="1921" t="s">
        <v>809</v>
      </c>
    </row>
    <row r="5" spans="1:20" ht="17.25" customHeight="1" thickBot="1">
      <c r="A5" s="638">
        <v>2007</v>
      </c>
      <c r="B5" s="1560">
        <v>8459</v>
      </c>
      <c r="C5" s="1560">
        <v>85</v>
      </c>
      <c r="D5" s="1561">
        <f>+C5+B5</f>
        <v>8544</v>
      </c>
      <c r="E5" s="1203">
        <f t="shared" ref="E5:E15" si="0">B5/D5</f>
        <v>0.99005149812734083</v>
      </c>
      <c r="F5" s="1204">
        <f>C5/D5</f>
        <v>9.948501872659176E-3</v>
      </c>
      <c r="O5" s="1904" t="s">
        <v>1160</v>
      </c>
      <c r="P5" s="1273">
        <v>3990</v>
      </c>
      <c r="Q5" s="1273">
        <v>28</v>
      </c>
      <c r="R5" s="1922">
        <v>4018</v>
      </c>
    </row>
    <row r="6" spans="1:20" ht="17.25" customHeight="1" thickBot="1">
      <c r="A6" s="639">
        <v>2008</v>
      </c>
      <c r="B6" s="1560">
        <v>10873</v>
      </c>
      <c r="C6" s="1560">
        <v>104</v>
      </c>
      <c r="D6" s="1561">
        <f t="shared" ref="D6:D23" si="1">+C6+B6</f>
        <v>10977</v>
      </c>
      <c r="E6" s="1203">
        <f t="shared" si="0"/>
        <v>0.99052564452947067</v>
      </c>
      <c r="F6" s="1204">
        <f>C6/D6</f>
        <v>9.4743554705292877E-3</v>
      </c>
      <c r="M6" s="1448">
        <f>+(Tabla46[[#This Row],[Total Casos]]-D5)/D5</f>
        <v>0.2847612359550562</v>
      </c>
      <c r="O6" s="1904" t="s">
        <v>1161</v>
      </c>
      <c r="P6" s="1273">
        <v>3965</v>
      </c>
      <c r="Q6" s="1273">
        <v>31</v>
      </c>
      <c r="R6" s="1922">
        <v>3996</v>
      </c>
    </row>
    <row r="7" spans="1:20" ht="17.25" customHeight="1" thickBot="1">
      <c r="A7" s="638">
        <v>2009</v>
      </c>
      <c r="B7" s="1560">
        <v>14386</v>
      </c>
      <c r="C7" s="1560">
        <v>297</v>
      </c>
      <c r="D7" s="1561">
        <f t="shared" si="1"/>
        <v>14683</v>
      </c>
      <c r="E7" s="1203">
        <f t="shared" si="0"/>
        <v>0.97977252605053466</v>
      </c>
      <c r="F7" s="1204">
        <f>C7/D7</f>
        <v>2.0227473949465367E-2</v>
      </c>
      <c r="M7" s="1448">
        <f>+(Tabla46[[#This Row],[Total Casos]]-D6)/D6</f>
        <v>0.33761501320943793</v>
      </c>
      <c r="O7" s="1904" t="s">
        <v>439</v>
      </c>
      <c r="P7" s="1273">
        <v>4582</v>
      </c>
      <c r="Q7" s="1273">
        <v>49</v>
      </c>
      <c r="R7" s="1922">
        <v>4631</v>
      </c>
    </row>
    <row r="8" spans="1:20" ht="17.25" customHeight="1" thickBot="1">
      <c r="A8" s="639">
        <v>2010</v>
      </c>
      <c r="B8" s="1560">
        <v>17051</v>
      </c>
      <c r="C8" s="1560">
        <v>405</v>
      </c>
      <c r="D8" s="1561">
        <f t="shared" si="1"/>
        <v>17456</v>
      </c>
      <c r="E8" s="1203">
        <f t="shared" si="0"/>
        <v>0.97679880843263056</v>
      </c>
      <c r="F8" s="1204">
        <f>C8/D8</f>
        <v>2.3201191567369387E-2</v>
      </c>
      <c r="M8" s="1448">
        <f>+(Tabla46[[#This Row],[Total Casos]]-D7)/D7</f>
        <v>0.18885786283457059</v>
      </c>
      <c r="O8" s="1904"/>
      <c r="P8" s="1926">
        <f>SUM(P5:P7)</f>
        <v>12537</v>
      </c>
      <c r="Q8" s="1926">
        <f>SUM(Q5:Q7)</f>
        <v>108</v>
      </c>
      <c r="R8" s="1927">
        <f>SUM(R5:R7)</f>
        <v>12645</v>
      </c>
    </row>
    <row r="9" spans="1:20" ht="17.25" customHeight="1" thickBot="1">
      <c r="A9" s="639">
        <v>2011</v>
      </c>
      <c r="B9" s="1560">
        <v>22120</v>
      </c>
      <c r="C9" s="1560">
        <v>477</v>
      </c>
      <c r="D9" s="1561">
        <f t="shared" si="1"/>
        <v>22597</v>
      </c>
      <c r="E9" s="1203">
        <f t="shared" si="0"/>
        <v>0.97889100323051736</v>
      </c>
      <c r="F9" s="1204">
        <f>C9/D9</f>
        <v>2.1108996769482673E-2</v>
      </c>
      <c r="M9" s="1448">
        <f>+(Tabla46[[#This Row],[Total Casos]]-D8)/D8</f>
        <v>0.29451191567369384</v>
      </c>
      <c r="O9" s="1904"/>
      <c r="P9" s="1273"/>
      <c r="Q9" s="1273"/>
      <c r="R9" s="1922"/>
    </row>
    <row r="10" spans="1:20" ht="17.25" customHeight="1" thickBot="1">
      <c r="A10" s="639" t="s">
        <v>443</v>
      </c>
      <c r="B10" s="1560">
        <v>26233</v>
      </c>
      <c r="C10" s="1560">
        <v>455</v>
      </c>
      <c r="D10" s="1561">
        <f t="shared" si="1"/>
        <v>26688</v>
      </c>
      <c r="E10" s="1203">
        <f t="shared" si="0"/>
        <v>0.982951139088729</v>
      </c>
      <c r="F10" s="1204">
        <f t="shared" ref="F10:F15" si="2">C10/D10</f>
        <v>1.7048860911270985E-2</v>
      </c>
      <c r="M10" s="1448">
        <f>+(Tabla46[[#This Row],[Total Casos]]-D9)/D9</f>
        <v>0.18104173120325706</v>
      </c>
      <c r="O10" s="1904" t="s">
        <v>1162</v>
      </c>
      <c r="P10" s="1273">
        <v>4066</v>
      </c>
      <c r="Q10" s="1273">
        <v>38</v>
      </c>
      <c r="R10" s="1922">
        <v>4104</v>
      </c>
    </row>
    <row r="11" spans="1:20" ht="17.25" customHeight="1">
      <c r="A11" s="639" t="s">
        <v>444</v>
      </c>
      <c r="B11" s="1560">
        <v>28246</v>
      </c>
      <c r="C11" s="1560">
        <v>389</v>
      </c>
      <c r="D11" s="1561">
        <f t="shared" si="1"/>
        <v>28635</v>
      </c>
      <c r="E11" s="1203">
        <f t="shared" si="0"/>
        <v>0.98641522612187882</v>
      </c>
      <c r="F11" s="1204">
        <f t="shared" si="2"/>
        <v>1.358477387812118E-2</v>
      </c>
      <c r="M11" s="1448">
        <f>+(Tabla46[[#This Row],[Total Casos]]-D10)/D10</f>
        <v>7.2954136690647486E-2</v>
      </c>
      <c r="O11" s="1923" t="s">
        <v>1163</v>
      </c>
      <c r="P11" s="1924">
        <v>16603</v>
      </c>
      <c r="Q11" s="1924">
        <v>146</v>
      </c>
      <c r="R11" s="1925">
        <v>16749</v>
      </c>
    </row>
    <row r="12" spans="1:20" ht="17.25" customHeight="1">
      <c r="A12" s="639" t="s">
        <v>445</v>
      </c>
      <c r="B12" s="1560">
        <v>30630</v>
      </c>
      <c r="C12" s="1560">
        <v>402</v>
      </c>
      <c r="D12" s="1561">
        <f t="shared" si="1"/>
        <v>31032</v>
      </c>
      <c r="E12" s="1203">
        <f t="shared" si="0"/>
        <v>0.98704563031709203</v>
      </c>
      <c r="F12" s="1204">
        <f t="shared" si="2"/>
        <v>1.2954369682907967E-2</v>
      </c>
      <c r="M12" s="1448">
        <f>+(Tabla46[[#This Row],[Total Casos]]-D11)/D11</f>
        <v>8.3708748035620742E-2</v>
      </c>
      <c r="O12" s="1419"/>
      <c r="P12" s="1420"/>
      <c r="Q12" s="1420"/>
      <c r="R12" s="1421"/>
    </row>
    <row r="13" spans="1:20" ht="17.25" customHeight="1">
      <c r="A13" s="640" t="s">
        <v>447</v>
      </c>
      <c r="B13" s="1562">
        <v>34087</v>
      </c>
      <c r="C13" s="1562">
        <v>462</v>
      </c>
      <c r="D13" s="1561">
        <f t="shared" si="1"/>
        <v>34549</v>
      </c>
      <c r="E13" s="1203">
        <f t="shared" si="0"/>
        <v>0.98662768821094682</v>
      </c>
      <c r="F13" s="1204">
        <f t="shared" si="2"/>
        <v>1.3372311789053229E-2</v>
      </c>
      <c r="M13" s="1448">
        <f>+(Tabla46[[#This Row],[Total Casos]]-D12)/D12</f>
        <v>0.11333462232534158</v>
      </c>
      <c r="O13" s="1419"/>
      <c r="P13" s="1420"/>
      <c r="Q13" s="1420"/>
      <c r="R13" s="1421"/>
    </row>
    <row r="14" spans="1:20" ht="17.25" customHeight="1">
      <c r="A14" s="640" t="s">
        <v>448</v>
      </c>
      <c r="B14" s="1562">
        <v>38382</v>
      </c>
      <c r="C14" s="1562">
        <v>474</v>
      </c>
      <c r="D14" s="1561">
        <f t="shared" si="1"/>
        <v>38856</v>
      </c>
      <c r="E14" s="1203">
        <f t="shared" si="0"/>
        <v>0.98780111179740582</v>
      </c>
      <c r="F14" s="1204">
        <f t="shared" si="2"/>
        <v>1.2198888202594195E-2</v>
      </c>
      <c r="K14" s="364"/>
      <c r="M14" s="1448">
        <f>+(Tabla46[[#This Row],[Total Casos]]-D13)/D13</f>
        <v>0.12466352137543778</v>
      </c>
      <c r="O14" s="1256"/>
      <c r="P14" s="1277"/>
      <c r="Q14" s="1277"/>
      <c r="R14" s="1278"/>
    </row>
    <row r="15" spans="1:20" ht="17.25" customHeight="1">
      <c r="A15" s="640" t="s">
        <v>449</v>
      </c>
      <c r="B15" s="1562">
        <v>41026</v>
      </c>
      <c r="C15" s="1562">
        <v>463</v>
      </c>
      <c r="D15" s="1561">
        <f t="shared" si="1"/>
        <v>41489</v>
      </c>
      <c r="E15" s="1203">
        <f t="shared" si="0"/>
        <v>0.98884041553182767</v>
      </c>
      <c r="F15" s="1204">
        <f t="shared" si="2"/>
        <v>1.1159584468172286E-2</v>
      </c>
      <c r="M15" s="1448">
        <f>+(Tabla46[[#This Row],[Total Casos]]-D14)/D14</f>
        <v>6.7763022441836518E-2</v>
      </c>
    </row>
    <row r="16" spans="1:20" s="372" customFormat="1" ht="17.25" customHeight="1">
      <c r="A16" s="640" t="s">
        <v>450</v>
      </c>
      <c r="B16" s="1562">
        <v>44827</v>
      </c>
      <c r="C16" s="1562">
        <v>643</v>
      </c>
      <c r="D16" s="1561">
        <f t="shared" si="1"/>
        <v>45470</v>
      </c>
      <c r="E16" s="1203">
        <f>B16/D16</f>
        <v>0.98585880800527825</v>
      </c>
      <c r="F16" s="1204">
        <f>C16/D16</f>
        <v>1.4141191994721795E-2</v>
      </c>
      <c r="G16" s="430"/>
      <c r="M16" s="1448">
        <f>+(Tabla46[[#This Row],[Total Casos]]-D15)/D15</f>
        <v>9.5953144206898211E-2</v>
      </c>
      <c r="O16" s="307"/>
      <c r="P16" s="307"/>
      <c r="Q16" s="307"/>
      <c r="R16" s="307"/>
      <c r="S16" s="307"/>
      <c r="T16" s="307"/>
    </row>
    <row r="17" spans="1:20" ht="18">
      <c r="A17" s="640" t="s">
        <v>451</v>
      </c>
      <c r="B17" s="1562">
        <v>48395</v>
      </c>
      <c r="C17" s="1562">
        <v>753</v>
      </c>
      <c r="D17" s="1561">
        <f t="shared" si="1"/>
        <v>49148</v>
      </c>
      <c r="E17" s="1203">
        <f>B17/D17</f>
        <v>0.98467892894929598</v>
      </c>
      <c r="F17" s="1204">
        <f>C17/D17</f>
        <v>1.5321071050703997E-2</v>
      </c>
      <c r="G17" s="430"/>
      <c r="H17" s="372"/>
      <c r="I17" s="372"/>
      <c r="K17" s="364"/>
      <c r="M17" s="1448">
        <f>+(Tabla46[[#This Row],[Total Casos]]-D16)/D16</f>
        <v>8.0888497910710358E-2</v>
      </c>
    </row>
    <row r="18" spans="1:20" ht="18">
      <c r="A18" s="641">
        <v>2020</v>
      </c>
      <c r="B18" s="1562">
        <v>31890</v>
      </c>
      <c r="C18" s="1562">
        <v>8255</v>
      </c>
      <c r="D18" s="1561">
        <f t="shared" si="1"/>
        <v>40145</v>
      </c>
      <c r="E18" s="1203">
        <f>B18/D18</f>
        <v>0.79437040727363306</v>
      </c>
      <c r="F18" s="1204">
        <f>C18/D18</f>
        <v>0.20562959272636691</v>
      </c>
      <c r="G18" s="430"/>
      <c r="H18" s="372"/>
      <c r="I18" s="372"/>
      <c r="K18" s="364"/>
      <c r="M18" s="1448">
        <f>+(Tabla46[[#This Row],[Total Casos]]-D17)/D17</f>
        <v>-0.18318141124766013</v>
      </c>
      <c r="T18" s="372"/>
    </row>
    <row r="19" spans="1:20" ht="18">
      <c r="A19" s="641">
        <v>2021</v>
      </c>
      <c r="B19" s="1562">
        <v>38603</v>
      </c>
      <c r="C19" s="1562">
        <v>8847</v>
      </c>
      <c r="D19" s="1561">
        <f t="shared" si="1"/>
        <v>47450</v>
      </c>
      <c r="E19" s="1203">
        <f>B19/D19</f>
        <v>0.8135511064278188</v>
      </c>
      <c r="F19" s="1204">
        <f>C19/D19</f>
        <v>0.18644889357218125</v>
      </c>
      <c r="G19" s="430"/>
      <c r="K19" s="364"/>
      <c r="M19" s="1448">
        <f>+(Tabla46[[#This Row],[Total Casos]]-D18)/D18</f>
        <v>0.1819653755137626</v>
      </c>
      <c r="P19"/>
    </row>
    <row r="20" spans="1:20" ht="18">
      <c r="A20" s="641">
        <v>2022</v>
      </c>
      <c r="B20" s="1562">
        <v>44773</v>
      </c>
      <c r="C20" s="1562">
        <v>4822</v>
      </c>
      <c r="D20" s="1561">
        <f t="shared" si="1"/>
        <v>49595</v>
      </c>
      <c r="E20" s="1203">
        <v>0.90277245690089725</v>
      </c>
      <c r="F20" s="1204">
        <v>9.7227543099102726E-2</v>
      </c>
      <c r="G20" s="430"/>
      <c r="K20" s="364"/>
      <c r="M20" s="1448">
        <f>+(Tabla46[[#This Row],[Total Casos]]-D19)/D19</f>
        <v>4.5205479452054796E-2</v>
      </c>
      <c r="O20" s="372"/>
      <c r="P20" s="372"/>
      <c r="Q20" s="372"/>
      <c r="R20" s="372"/>
      <c r="S20" s="372"/>
    </row>
    <row r="21" spans="1:20" ht="18">
      <c r="A21" s="1790">
        <v>2023</v>
      </c>
      <c r="B21" s="1563">
        <v>46191</v>
      </c>
      <c r="C21" s="1563">
        <v>606</v>
      </c>
      <c r="D21" s="1561">
        <f>+C21+B21</f>
        <v>46797</v>
      </c>
      <c r="E21" s="1203">
        <f>B21/D21</f>
        <v>0.98705045195204821</v>
      </c>
      <c r="F21" s="1204">
        <f>C21/D21</f>
        <v>1.2949548047951792E-2</v>
      </c>
      <c r="G21" s="430"/>
      <c r="K21" s="364"/>
      <c r="M21" s="1448">
        <f>+(Tabla46[[#This Row],[Total Casos]]-D20)/D20</f>
        <v>-5.6416977517894949E-2</v>
      </c>
    </row>
    <row r="22" spans="1:20" ht="18">
      <c r="A22" s="1790">
        <v>2024</v>
      </c>
      <c r="B22" s="1563">
        <v>49692</v>
      </c>
      <c r="C22" s="1563">
        <v>540</v>
      </c>
      <c r="D22" s="1561">
        <f t="shared" ref="D22" si="3">+C22+B22</f>
        <v>50232</v>
      </c>
      <c r="E22" s="1203">
        <f>B22/D22</f>
        <v>0.98924988055422836</v>
      </c>
      <c r="F22" s="1204">
        <f>C22/D22</f>
        <v>1.075011944577162E-2</v>
      </c>
      <c r="G22" s="430"/>
      <c r="K22" s="364"/>
      <c r="M22" s="1448"/>
    </row>
    <row r="23" spans="1:20" ht="18">
      <c r="A23" s="1791" t="str">
        <f>+'Resumen '!O6</f>
        <v>Abr.2025</v>
      </c>
      <c r="B23" s="1563">
        <f>+'Resumen '!B7</f>
        <v>16603</v>
      </c>
      <c r="C23" s="1563">
        <f>+'Resumen '!C7</f>
        <v>146</v>
      </c>
      <c r="D23" s="1561">
        <f t="shared" si="1"/>
        <v>16749</v>
      </c>
      <c r="E23" s="1203">
        <f>B23/D23</f>
        <v>0.99128306167532387</v>
      </c>
      <c r="F23" s="1204">
        <f>C23/D23</f>
        <v>8.7169383246761007E-3</v>
      </c>
      <c r="K23" s="364"/>
      <c r="M23" s="1448">
        <f>+(Tabla46[[#This Row],[Total Casos]]-D21)/D21</f>
        <v>-0.6420924418231938</v>
      </c>
    </row>
    <row r="24" spans="1:20" ht="18">
      <c r="A24" s="579" t="s">
        <v>235</v>
      </c>
      <c r="B24" s="1564">
        <f>SUM(B5:B23)</f>
        <v>592467</v>
      </c>
      <c r="C24" s="1564">
        <f>SUM(C5:C23)</f>
        <v>28625</v>
      </c>
      <c r="D24" s="1564">
        <f>SUM(D5:D23)</f>
        <v>621092</v>
      </c>
      <c r="E24" s="642">
        <f>AVERAGE(E5:E23)</f>
        <v>0.96234398911457364</v>
      </c>
      <c r="F24" s="643">
        <f>AVERAGE(F5:F23)</f>
        <v>3.7656010885426416E-2</v>
      </c>
      <c r="K24" s="364"/>
    </row>
    <row r="25" spans="1:20" ht="18">
      <c r="A25" s="895" t="s">
        <v>1164</v>
      </c>
      <c r="B25" s="896"/>
      <c r="C25" s="896"/>
      <c r="D25" s="897"/>
      <c r="E25" s="898"/>
      <c r="F25" s="898"/>
      <c r="K25" s="364"/>
      <c r="M25" s="326">
        <f>AVERAGE(M6:M23)</f>
        <v>7.479608683762215E-2</v>
      </c>
    </row>
    <row r="26" spans="1:20">
      <c r="K26" s="364"/>
    </row>
    <row r="27" spans="1:20">
      <c r="K27" s="364"/>
    </row>
    <row r="28" spans="1:20">
      <c r="K28" s="364"/>
    </row>
    <row r="29" spans="1:20">
      <c r="K29" s="364"/>
    </row>
    <row r="30" spans="1:20">
      <c r="K30" s="364"/>
    </row>
    <row r="31" spans="1:20">
      <c r="K31" s="364"/>
    </row>
    <row r="32" spans="1:20">
      <c r="K32" s="364"/>
    </row>
    <row r="33" spans="11:11">
      <c r="K33" s="364"/>
    </row>
    <row r="34" spans="11:11">
      <c r="K34" s="364"/>
    </row>
    <row r="35" spans="11:11">
      <c r="K35" s="364"/>
    </row>
    <row r="36" spans="11:11">
      <c r="K36" s="364"/>
    </row>
    <row r="37" spans="11:11">
      <c r="K37" s="364"/>
    </row>
  </sheetData>
  <mergeCells count="2">
    <mergeCell ref="A1:J1"/>
    <mergeCell ref="A2:J2"/>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G e m i n i   x m l n s = " h t t p : / / g e m i n i / p i v o t c u s t o m i z a t i o n / R e l a t i o n s h i p A u t o D e t e c t i o n E n a b l e d " > < C u s t o m C o n t e n t > < ! [ C D A T A [ T r u e ] ] > < / 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8"?>
<?mso-contentType ?>
<FormTemplates xmlns="http://schemas.microsoft.com/sharepoint/v3/contenttype/forms">
  <Display>DocumentLibraryForm</Display>
  <Edit>DocumentLibraryForm</Edit>
  <New>DocumentLibraryForm</New>
</FormTemplates>
</file>

<file path=customXml/item15.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C l i e n t W i n d o w X M L " > < C u s t o m C o n t e n t > < ! [ C D A T A [ R a n g o - f 3 f e 5 9 b c - c 8 f 1 - 4 b e c - 8 0 e 6 - b 3 4 4 c 0 9 d 9 7 7 3 ] ] > < / C u s t o m C o n t e n t > < / G e m i n i > 
</file>

<file path=customXml/item17.xml>��< ? x m l   v e r s i o n = " 1 . 0 "   e n c o d i n g = " U T F - 1 6 " ? > < G e m i n i   x m l n s = " h t t p : / / g e m i n i / p i v o t c u s t o m i z a t i o n / S h o w H i d d e n " > < C u s t o m C o n t e n t > < ! [ C D A T A [ T r u e ] ] > < / C u s t o m C o n t e n t > < / G e m i n i > 
</file>

<file path=customXml/item18.xml>��< ? x m l   v e r s i o n = " 1 . 0 "   e n c o d i n g = " U T F - 1 6 " ? > < G e m i n i   x m l n s = " h t t p : / / g e m i n i / p i v o t c u s t o m i z a t i o n / P o w e r P i v o t V e r s i o n " > < C u s t o m C o n t e n t > < ! [ C D A T A [ 2 0 1 1 . 1 1 0 . 2 8 3 0 . 7 7 ] ] > < / C u s t o m C o n t e n t > < / G e m i n i > 
</file>

<file path=customXml/item1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S a n d b o x N o n E m p t y " > < C u s t o m C o n t e n t > < ! [ C D A T A [ 1 ] ] > < / 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1.xml>��< ? x m l   v e r s i o n = " 1 . 0 "   e n c o d i n g = " U T F - 1 6 " ? > < G e m i n i   x m l n s = " h t t p : / / g e m i n i / p i v o t c u s t o m i z a t i o n / M a n u a l C a l c M o d e " > < C u s t o m C o n t e n t > < ! [ C D A T A [ F a l s e ] ] > < / C u s t o m C o n t e n t > < / G e m i n i > 
</file>

<file path=customXml/item3.xml>��< ? x m l   v e r s i o n = " 1 . 0 "   e n c o d i n g = " U T F - 1 6 " ? > < G e m i n i   x m l n s = " h t t p : / / g e m i n i / p i v o t c u s t o m i z a t i o n / T a b l e O r d e r " > < C u s t o m C o n t e n t > < ! [ C D A T A [ R a n g o - f 3 f e 5 9 b c - c 8 f 1 - 4 b e c - 8 0 e 6 - b 3 4 4 c 0 9 d 9 7 7 3 ] ] > < / C u s t o m C o n t e n t > < / G e m i n i > 
</file>

<file path=customXml/item4.xml>��< ? x m l   v e r s i o n = " 1 . 0 "   e n c o d i n g = " U T F - 1 6 " ? > < G e m i n i   x m l n s = " h t t p : / / g e m i n i / p i v o t c u s t o m i z a t i o n / S h o w I m p l i c i t M e a s u r e s " > < C u s t o m C o n t e n t > < ! [ C D A T A [ F a l s e ] ] > < / C u s t o m C o n t e n t > < / G e m i n i > 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6.xml>��< ? x m l   v e r s i o n = " 1 . 0 "   e n c o d i n g = " U T F - 1 6 " ? > < G e m i n i   x m l n s = " h t t p : / / g e m i n i / p i v o t c u s t o m i z a t i o n / I s S a n d b o x E m b e d d e d " > < C u s t o m C o n t e n t > < ! [ C D A T A [ y e s ] ] > < / 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9C2D8381-48DF-4E8F-B539-565B4AB74B8B}"/>
</file>

<file path=customXml/itemProps10.xml><?xml version="1.0" encoding="utf-8"?>
<ds:datastoreItem xmlns:ds="http://schemas.openxmlformats.org/officeDocument/2006/customXml" ds:itemID="{1FFC9235-044D-4B0A-8C9F-81DBB93CDED0}"/>
</file>

<file path=customXml/itemProps11.xml><?xml version="1.0" encoding="utf-8"?>
<ds:datastoreItem xmlns:ds="http://schemas.openxmlformats.org/officeDocument/2006/customXml" ds:itemID="{F23FD6F4-679F-4C28-83BA-8BC2EABB5983}"/>
</file>

<file path=customXml/itemProps12.xml><?xml version="1.0" encoding="utf-8"?>
<ds:datastoreItem xmlns:ds="http://schemas.openxmlformats.org/officeDocument/2006/customXml" ds:itemID="{5FBFF5F9-F5ED-4DB7-92B9-E5FE1316C996}"/>
</file>

<file path=customXml/itemProps13.xml><?xml version="1.0" encoding="utf-8"?>
<ds:datastoreItem xmlns:ds="http://schemas.openxmlformats.org/officeDocument/2006/customXml" ds:itemID="{FB1FD664-44D7-4790-BCC3-2C16D4990189}"/>
</file>

<file path=customXml/itemProps14.xml><?xml version="1.0" encoding="utf-8"?>
<ds:datastoreItem xmlns:ds="http://schemas.openxmlformats.org/officeDocument/2006/customXml" ds:itemID="{0E9C91F6-7CD1-4C92-82C5-93EB6BEF7561}"/>
</file>

<file path=customXml/itemProps15.xml><?xml version="1.0" encoding="utf-8"?>
<ds:datastoreItem xmlns:ds="http://schemas.openxmlformats.org/officeDocument/2006/customXml" ds:itemID="{C872D0B8-1B79-4B9B-9877-4D1367E58CFD}"/>
</file>

<file path=customXml/itemProps16.xml><?xml version="1.0" encoding="utf-8"?>
<ds:datastoreItem xmlns:ds="http://schemas.openxmlformats.org/officeDocument/2006/customXml" ds:itemID="{6D098F78-D094-405F-BA55-CAFE3CBEAD16}"/>
</file>

<file path=customXml/itemProps17.xml><?xml version="1.0" encoding="utf-8"?>
<ds:datastoreItem xmlns:ds="http://schemas.openxmlformats.org/officeDocument/2006/customXml" ds:itemID="{4A9E9C2F-2082-4906-A303-910BDA82BCD1}"/>
</file>

<file path=customXml/itemProps18.xml><?xml version="1.0" encoding="utf-8"?>
<ds:datastoreItem xmlns:ds="http://schemas.openxmlformats.org/officeDocument/2006/customXml" ds:itemID="{E37A5C9B-FC69-469E-A19B-65027A60E177}"/>
</file>

<file path=customXml/itemProps19.xml><?xml version="1.0" encoding="utf-8"?>
<ds:datastoreItem xmlns:ds="http://schemas.openxmlformats.org/officeDocument/2006/customXml" ds:itemID="{12C0D08D-E686-4AE7-BFA1-EB4C274009BD}"/>
</file>

<file path=customXml/itemProps2.xml><?xml version="1.0" encoding="utf-8"?>
<ds:datastoreItem xmlns:ds="http://schemas.openxmlformats.org/officeDocument/2006/customXml" ds:itemID="{85171729-2316-4411-A3A8-A8DF571FC41F}"/>
</file>

<file path=customXml/itemProps20.xml><?xml version="1.0" encoding="utf-8"?>
<ds:datastoreItem xmlns:ds="http://schemas.openxmlformats.org/officeDocument/2006/customXml" ds:itemID="{0C57BE94-DFC2-4B97-ABBE-8EC224883C92}"/>
</file>

<file path=customXml/itemProps21.xml><?xml version="1.0" encoding="utf-8"?>
<ds:datastoreItem xmlns:ds="http://schemas.openxmlformats.org/officeDocument/2006/customXml" ds:itemID="{0920F2F1-6527-446B-9C6E-E71DAE4D3523}"/>
</file>

<file path=customXml/itemProps3.xml><?xml version="1.0" encoding="utf-8"?>
<ds:datastoreItem xmlns:ds="http://schemas.openxmlformats.org/officeDocument/2006/customXml" ds:itemID="{1734236D-193E-4861-B7AE-9E1751475E34}"/>
</file>

<file path=customXml/itemProps4.xml><?xml version="1.0" encoding="utf-8"?>
<ds:datastoreItem xmlns:ds="http://schemas.openxmlformats.org/officeDocument/2006/customXml" ds:itemID="{7082962A-3D58-4376-81E5-34D1EAEB3798}"/>
</file>

<file path=customXml/itemProps5.xml><?xml version="1.0" encoding="utf-8"?>
<ds:datastoreItem xmlns:ds="http://schemas.openxmlformats.org/officeDocument/2006/customXml" ds:itemID="{2C43D010-1F8F-44B5-9EAF-E538678E4F29}"/>
</file>

<file path=customXml/itemProps6.xml><?xml version="1.0" encoding="utf-8"?>
<ds:datastoreItem xmlns:ds="http://schemas.openxmlformats.org/officeDocument/2006/customXml" ds:itemID="{DECED210-9A65-4B7D-AF2B-70F65F770102}"/>
</file>

<file path=customXml/itemProps7.xml><?xml version="1.0" encoding="utf-8"?>
<ds:datastoreItem xmlns:ds="http://schemas.openxmlformats.org/officeDocument/2006/customXml" ds:itemID="{66F5A4A9-28DD-42B5-A74E-D3194527FB7C}"/>
</file>

<file path=customXml/itemProps8.xml><?xml version="1.0" encoding="utf-8"?>
<ds:datastoreItem xmlns:ds="http://schemas.openxmlformats.org/officeDocument/2006/customXml" ds:itemID="{32B16BF3-E4EA-4FDA-A6A8-FD37396AA2F9}"/>
</file>

<file path=customXml/itemProps9.xml><?xml version="1.0" encoding="utf-8"?>
<ds:datastoreItem xmlns:ds="http://schemas.openxmlformats.org/officeDocument/2006/customXml" ds:itemID="{A3AC825E-7E9C-4C6C-BD57-2B0AC499A6A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Bryan Cedeño</cp:lastModifiedBy>
  <cp:revision/>
  <dcterms:created xsi:type="dcterms:W3CDTF">2010-04-06T13:07:55Z</dcterms:created>
  <dcterms:modified xsi:type="dcterms:W3CDTF">2025-06-27T12:53:18Z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