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cnssgobdo.sharepoint.com/sites/Dir_RRHH/Shared Documents/01 Recursos Humanos/División de Nomina/2026/Victor Arias/Portal/05 Mayo/"/>
    </mc:Choice>
  </mc:AlternateContent>
  <bookViews>
    <workbookView xWindow="-120" yWindow="-120" windowWidth="29040" windowHeight="15720"/>
  </bookViews>
  <sheets>
    <sheet name="Hoja1" sheetId="1" r:id="rId1"/>
  </sheets>
  <definedNames>
    <definedName name="_xlnm._FilterDatabase" localSheetId="0" hidden="1">Hoja1!$A$5:$Z$107</definedName>
    <definedName name="_xlnm.Print_Area" localSheetId="0">Hoja1!$A$1:$Z$129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07" i="1" l="1"/>
  <c r="T112" i="1" s="1"/>
  <c r="Q107" i="1"/>
  <c r="M10" i="1" l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9" i="1"/>
  <c r="M8" i="1"/>
  <c r="M107" i="1" l="1"/>
  <c r="L102" i="1"/>
  <c r="K102" i="1"/>
  <c r="J102" i="1"/>
  <c r="I102" i="1"/>
  <c r="L101" i="1"/>
  <c r="K101" i="1"/>
  <c r="J101" i="1"/>
  <c r="I101" i="1"/>
  <c r="X102" i="1" l="1"/>
  <c r="Y101" i="1"/>
  <c r="Y102" i="1"/>
  <c r="X101" i="1"/>
  <c r="H101" i="1"/>
  <c r="V101" i="1" s="1"/>
  <c r="W101" i="1" s="1"/>
  <c r="H102" i="1"/>
  <c r="V102" i="1" s="1"/>
  <c r="W102" i="1" s="1"/>
  <c r="O102" i="1"/>
  <c r="O101" i="1"/>
  <c r="Z101" i="1" l="1"/>
  <c r="Z102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U107" i="1" l="1"/>
  <c r="L103" i="1" l="1"/>
  <c r="L98" i="1"/>
  <c r="L106" i="1" l="1"/>
  <c r="K106" i="1"/>
  <c r="J106" i="1"/>
  <c r="I106" i="1"/>
  <c r="W105" i="1"/>
  <c r="L105" i="1"/>
  <c r="K105" i="1"/>
  <c r="J105" i="1"/>
  <c r="I105" i="1"/>
  <c r="H105" i="1" l="1"/>
  <c r="Y106" i="1"/>
  <c r="Y105" i="1"/>
  <c r="X106" i="1"/>
  <c r="X105" i="1"/>
  <c r="Z105" i="1" s="1"/>
  <c r="H106" i="1"/>
  <c r="V106" i="1" s="1"/>
  <c r="W106" i="1" s="1"/>
  <c r="O106" i="1"/>
  <c r="O105" i="1"/>
  <c r="Z106" i="1" l="1"/>
  <c r="K25" i="1"/>
  <c r="K40" i="1"/>
  <c r="G107" i="1" l="1"/>
  <c r="W104" i="1" l="1"/>
  <c r="K104" i="1"/>
  <c r="J104" i="1"/>
  <c r="I104" i="1"/>
  <c r="W103" i="1"/>
  <c r="K103" i="1"/>
  <c r="J103" i="1"/>
  <c r="Y103" i="1" s="1"/>
  <c r="I103" i="1"/>
  <c r="X103" i="1" s="1"/>
  <c r="L100" i="1"/>
  <c r="K100" i="1"/>
  <c r="J100" i="1"/>
  <c r="I100" i="1"/>
  <c r="L99" i="1"/>
  <c r="K99" i="1"/>
  <c r="J99" i="1"/>
  <c r="I99" i="1"/>
  <c r="W10" i="1"/>
  <c r="K10" i="1"/>
  <c r="J10" i="1"/>
  <c r="Y10" i="1" s="1"/>
  <c r="I10" i="1"/>
  <c r="X10" i="1" s="1"/>
  <c r="H99" i="1" l="1"/>
  <c r="V99" i="1" s="1"/>
  <c r="W99" i="1" s="1"/>
  <c r="X99" i="1"/>
  <c r="H103" i="1"/>
  <c r="Y100" i="1"/>
  <c r="H104" i="1"/>
  <c r="Y99" i="1"/>
  <c r="O104" i="1"/>
  <c r="Y104" i="1"/>
  <c r="X104" i="1"/>
  <c r="Z104" i="1" s="1"/>
  <c r="Z103" i="1"/>
  <c r="O103" i="1"/>
  <c r="H100" i="1"/>
  <c r="V100" i="1" s="1"/>
  <c r="W100" i="1" s="1"/>
  <c r="O100" i="1"/>
  <c r="X100" i="1"/>
  <c r="O99" i="1"/>
  <c r="Z10" i="1"/>
  <c r="H10" i="1"/>
  <c r="O10" i="1"/>
  <c r="Z99" i="1" l="1"/>
  <c r="Z100" i="1"/>
  <c r="N41" i="1" l="1"/>
  <c r="N28" i="1"/>
  <c r="N72" i="1"/>
  <c r="I8" i="1" l="1"/>
  <c r="K9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8" i="1"/>
  <c r="K107" i="1" l="1"/>
  <c r="I65" i="1"/>
  <c r="J65" i="1"/>
  <c r="L65" i="1"/>
  <c r="W65" i="1"/>
  <c r="I66" i="1"/>
  <c r="J66" i="1"/>
  <c r="L66" i="1"/>
  <c r="W66" i="1"/>
  <c r="I69" i="1"/>
  <c r="J69" i="1"/>
  <c r="L69" i="1"/>
  <c r="W69" i="1"/>
  <c r="I55" i="1"/>
  <c r="J55" i="1"/>
  <c r="L55" i="1"/>
  <c r="W55" i="1"/>
  <c r="I21" i="1"/>
  <c r="J21" i="1"/>
  <c r="W21" i="1"/>
  <c r="I92" i="1"/>
  <c r="J92" i="1"/>
  <c r="L92" i="1"/>
  <c r="Y92" i="1" l="1"/>
  <c r="X92" i="1"/>
  <c r="Y69" i="1"/>
  <c r="H21" i="1"/>
  <c r="Y66" i="1"/>
  <c r="Y65" i="1"/>
  <c r="X65" i="1"/>
  <c r="Z65" i="1" s="1"/>
  <c r="O65" i="1"/>
  <c r="H65" i="1"/>
  <c r="X66" i="1"/>
  <c r="Z66" i="1" s="1"/>
  <c r="O66" i="1"/>
  <c r="H66" i="1"/>
  <c r="O69" i="1"/>
  <c r="H69" i="1"/>
  <c r="X69" i="1"/>
  <c r="Z69" i="1" s="1"/>
  <c r="Y55" i="1"/>
  <c r="O55" i="1"/>
  <c r="H55" i="1"/>
  <c r="X55" i="1"/>
  <c r="Z55" i="1" s="1"/>
  <c r="Y21" i="1"/>
  <c r="X21" i="1"/>
  <c r="Z21" i="1" s="1"/>
  <c r="O21" i="1"/>
  <c r="H92" i="1"/>
  <c r="V92" i="1" s="1"/>
  <c r="W92" i="1" s="1"/>
  <c r="O92" i="1"/>
  <c r="Z92" i="1" l="1"/>
  <c r="N16" i="1"/>
  <c r="N48" i="1"/>
  <c r="N23" i="1"/>
  <c r="N61" i="1"/>
  <c r="N56" i="1"/>
  <c r="N11" i="1"/>
  <c r="P107" i="1" l="1"/>
  <c r="N79" i="1"/>
  <c r="N58" i="1"/>
  <c r="N37" i="1"/>
  <c r="N33" i="1"/>
  <c r="N31" i="1"/>
  <c r="N27" i="1"/>
  <c r="N18" i="1"/>
  <c r="N107" i="1" l="1"/>
  <c r="W45" i="1"/>
  <c r="I86" i="1"/>
  <c r="J86" i="1"/>
  <c r="L86" i="1"/>
  <c r="I90" i="1"/>
  <c r="J90" i="1"/>
  <c r="L90" i="1"/>
  <c r="I85" i="1"/>
  <c r="J85" i="1"/>
  <c r="L85" i="1"/>
  <c r="J9" i="1"/>
  <c r="I9" i="1"/>
  <c r="H9" i="1" s="1"/>
  <c r="I96" i="1"/>
  <c r="J96" i="1"/>
  <c r="L96" i="1"/>
  <c r="Y86" i="1" l="1"/>
  <c r="Y96" i="1"/>
  <c r="X86" i="1"/>
  <c r="X96" i="1"/>
  <c r="H86" i="1"/>
  <c r="V86" i="1" s="1"/>
  <c r="W86" i="1" s="1"/>
  <c r="O86" i="1"/>
  <c r="Y90" i="1"/>
  <c r="H90" i="1"/>
  <c r="V90" i="1" s="1"/>
  <c r="W90" i="1" s="1"/>
  <c r="Y85" i="1"/>
  <c r="O90" i="1"/>
  <c r="X90" i="1"/>
  <c r="O96" i="1"/>
  <c r="H85" i="1"/>
  <c r="V85" i="1" s="1"/>
  <c r="W85" i="1" s="1"/>
  <c r="H96" i="1"/>
  <c r="V96" i="1" s="1"/>
  <c r="W96" i="1" s="1"/>
  <c r="X85" i="1"/>
  <c r="O85" i="1"/>
  <c r="Z96" i="1" l="1"/>
  <c r="Z86" i="1"/>
  <c r="Z90" i="1"/>
  <c r="Z85" i="1"/>
  <c r="I97" i="1"/>
  <c r="J97" i="1"/>
  <c r="L97" i="1"/>
  <c r="I98" i="1"/>
  <c r="H98" i="1" s="1"/>
  <c r="J98" i="1"/>
  <c r="I61" i="1"/>
  <c r="X8" i="1"/>
  <c r="W15" i="1"/>
  <c r="I81" i="1"/>
  <c r="J81" i="1"/>
  <c r="L81" i="1"/>
  <c r="W8" i="1"/>
  <c r="J8" i="1"/>
  <c r="Y8" i="1" l="1"/>
  <c r="Z8" i="1"/>
  <c r="Y97" i="1"/>
  <c r="H97" i="1"/>
  <c r="V97" i="1" s="1"/>
  <c r="W97" i="1" s="1"/>
  <c r="Y98" i="1"/>
  <c r="W98" i="1"/>
  <c r="O97" i="1"/>
  <c r="X97" i="1"/>
  <c r="O98" i="1"/>
  <c r="X98" i="1"/>
  <c r="H81" i="1"/>
  <c r="O81" i="1"/>
  <c r="Y81" i="1"/>
  <c r="X81" i="1"/>
  <c r="H8" i="1"/>
  <c r="O8" i="1"/>
  <c r="W81" i="1" l="1"/>
  <c r="Z81" i="1" s="1"/>
  <c r="Z97" i="1"/>
  <c r="Z98" i="1"/>
  <c r="L41" i="1" l="1"/>
  <c r="L42" i="1"/>
  <c r="L44" i="1"/>
  <c r="L45" i="1"/>
  <c r="L46" i="1"/>
  <c r="L47" i="1"/>
  <c r="L48" i="1"/>
  <c r="L49" i="1"/>
  <c r="L50" i="1"/>
  <c r="L51" i="1"/>
  <c r="L52" i="1"/>
  <c r="L53" i="1"/>
  <c r="L54" i="1"/>
  <c r="L56" i="1"/>
  <c r="L57" i="1"/>
  <c r="L58" i="1"/>
  <c r="L59" i="1"/>
  <c r="L60" i="1"/>
  <c r="L61" i="1"/>
  <c r="L62" i="1"/>
  <c r="L63" i="1"/>
  <c r="L64" i="1"/>
  <c r="L67" i="1"/>
  <c r="L68" i="1"/>
  <c r="L70" i="1"/>
  <c r="L71" i="1"/>
  <c r="L72" i="1"/>
  <c r="L73" i="1"/>
  <c r="L74" i="1"/>
  <c r="L75" i="1"/>
  <c r="L76" i="1"/>
  <c r="L77" i="1"/>
  <c r="L78" i="1"/>
  <c r="L79" i="1"/>
  <c r="L80" i="1"/>
  <c r="L82" i="1"/>
  <c r="L83" i="1"/>
  <c r="L84" i="1"/>
  <c r="L87" i="1"/>
  <c r="L88" i="1"/>
  <c r="L89" i="1"/>
  <c r="L91" i="1"/>
  <c r="L93" i="1"/>
  <c r="L94" i="1"/>
  <c r="L95" i="1"/>
  <c r="L107" i="1" l="1"/>
  <c r="R107" i="1"/>
  <c r="W14" i="1" l="1"/>
  <c r="I15" i="1" l="1"/>
  <c r="J15" i="1"/>
  <c r="O15" i="1" l="1"/>
  <c r="Y15" i="1"/>
  <c r="X15" i="1"/>
  <c r="Z15" i="1" s="1"/>
  <c r="H15" i="1"/>
  <c r="J95" i="1" l="1"/>
  <c r="I95" i="1"/>
  <c r="J94" i="1"/>
  <c r="I94" i="1"/>
  <c r="J93" i="1"/>
  <c r="Y93" i="1" s="1"/>
  <c r="I93" i="1"/>
  <c r="J91" i="1"/>
  <c r="I91" i="1"/>
  <c r="J89" i="1"/>
  <c r="I89" i="1"/>
  <c r="J88" i="1"/>
  <c r="I88" i="1"/>
  <c r="J87" i="1"/>
  <c r="I87" i="1"/>
  <c r="J84" i="1"/>
  <c r="I84" i="1"/>
  <c r="J83" i="1"/>
  <c r="I83" i="1"/>
  <c r="J82" i="1"/>
  <c r="I82" i="1"/>
  <c r="J80" i="1"/>
  <c r="I80" i="1"/>
  <c r="J79" i="1"/>
  <c r="I79" i="1"/>
  <c r="J78" i="1"/>
  <c r="I78" i="1"/>
  <c r="J77" i="1"/>
  <c r="I77" i="1"/>
  <c r="J76" i="1"/>
  <c r="I76" i="1"/>
  <c r="J75" i="1"/>
  <c r="I75" i="1"/>
  <c r="J74" i="1"/>
  <c r="I74" i="1"/>
  <c r="W73" i="1"/>
  <c r="J73" i="1"/>
  <c r="I73" i="1"/>
  <c r="J72" i="1"/>
  <c r="I72" i="1"/>
  <c r="W71" i="1"/>
  <c r="J71" i="1"/>
  <c r="I71" i="1"/>
  <c r="W70" i="1"/>
  <c r="J70" i="1"/>
  <c r="I70" i="1"/>
  <c r="W68" i="1"/>
  <c r="J68" i="1"/>
  <c r="I68" i="1"/>
  <c r="W67" i="1"/>
  <c r="J67" i="1"/>
  <c r="I67" i="1"/>
  <c r="W64" i="1"/>
  <c r="J64" i="1"/>
  <c r="I64" i="1"/>
  <c r="W63" i="1"/>
  <c r="J63" i="1"/>
  <c r="I63" i="1"/>
  <c r="W62" i="1"/>
  <c r="J62" i="1"/>
  <c r="I62" i="1"/>
  <c r="W61" i="1"/>
  <c r="J61" i="1"/>
  <c r="O61" i="1" s="1"/>
  <c r="W60" i="1"/>
  <c r="J60" i="1"/>
  <c r="I60" i="1"/>
  <c r="W59" i="1"/>
  <c r="J59" i="1"/>
  <c r="I59" i="1"/>
  <c r="W58" i="1"/>
  <c r="J58" i="1"/>
  <c r="I58" i="1"/>
  <c r="W57" i="1"/>
  <c r="J57" i="1"/>
  <c r="I57" i="1"/>
  <c r="W56" i="1"/>
  <c r="J56" i="1"/>
  <c r="I56" i="1"/>
  <c r="W54" i="1"/>
  <c r="J54" i="1"/>
  <c r="I54" i="1"/>
  <c r="W53" i="1"/>
  <c r="J53" i="1"/>
  <c r="I53" i="1"/>
  <c r="W52" i="1"/>
  <c r="J52" i="1"/>
  <c r="I52" i="1"/>
  <c r="W51" i="1"/>
  <c r="J51" i="1"/>
  <c r="I51" i="1"/>
  <c r="W50" i="1"/>
  <c r="J50" i="1"/>
  <c r="I50" i="1"/>
  <c r="W49" i="1"/>
  <c r="J49" i="1"/>
  <c r="I49" i="1"/>
  <c r="W48" i="1"/>
  <c r="J48" i="1"/>
  <c r="I48" i="1"/>
  <c r="W47" i="1"/>
  <c r="J47" i="1"/>
  <c r="I47" i="1"/>
  <c r="W46" i="1"/>
  <c r="J46" i="1"/>
  <c r="I46" i="1"/>
  <c r="J45" i="1"/>
  <c r="I45" i="1"/>
  <c r="W44" i="1"/>
  <c r="J44" i="1"/>
  <c r="I44" i="1"/>
  <c r="J43" i="1"/>
  <c r="I43" i="1"/>
  <c r="J42" i="1"/>
  <c r="I42" i="1"/>
  <c r="W41" i="1"/>
  <c r="J41" i="1"/>
  <c r="I41" i="1"/>
  <c r="H41" i="1" s="1"/>
  <c r="W40" i="1"/>
  <c r="J40" i="1"/>
  <c r="I40" i="1"/>
  <c r="J39" i="1"/>
  <c r="I39" i="1"/>
  <c r="J38" i="1"/>
  <c r="I38" i="1"/>
  <c r="W37" i="1"/>
  <c r="J37" i="1"/>
  <c r="I37" i="1"/>
  <c r="W36" i="1"/>
  <c r="J36" i="1"/>
  <c r="I36" i="1"/>
  <c r="W35" i="1"/>
  <c r="J35" i="1"/>
  <c r="I35" i="1"/>
  <c r="W34" i="1"/>
  <c r="J34" i="1"/>
  <c r="I34" i="1"/>
  <c r="W33" i="1"/>
  <c r="J33" i="1"/>
  <c r="I33" i="1"/>
  <c r="W32" i="1"/>
  <c r="J32" i="1"/>
  <c r="I32" i="1"/>
  <c r="W31" i="1"/>
  <c r="J31" i="1"/>
  <c r="I31" i="1"/>
  <c r="W30" i="1"/>
  <c r="J30" i="1"/>
  <c r="I30" i="1"/>
  <c r="W29" i="1"/>
  <c r="J29" i="1"/>
  <c r="I29" i="1"/>
  <c r="W28" i="1"/>
  <c r="J28" i="1"/>
  <c r="I28" i="1"/>
  <c r="W27" i="1"/>
  <c r="J27" i="1"/>
  <c r="I27" i="1"/>
  <c r="W26" i="1"/>
  <c r="J26" i="1"/>
  <c r="I26" i="1"/>
  <c r="W25" i="1"/>
  <c r="J25" i="1"/>
  <c r="I25" i="1"/>
  <c r="W24" i="1"/>
  <c r="J24" i="1"/>
  <c r="I24" i="1"/>
  <c r="W23" i="1"/>
  <c r="J23" i="1"/>
  <c r="I23" i="1"/>
  <c r="W22" i="1"/>
  <c r="J22" i="1"/>
  <c r="I22" i="1"/>
  <c r="W20" i="1"/>
  <c r="J20" i="1"/>
  <c r="I20" i="1"/>
  <c r="W19" i="1"/>
  <c r="J19" i="1"/>
  <c r="I19" i="1"/>
  <c r="W18" i="1"/>
  <c r="J18" i="1"/>
  <c r="I18" i="1"/>
  <c r="J17" i="1"/>
  <c r="I17" i="1"/>
  <c r="W16" i="1"/>
  <c r="J16" i="1"/>
  <c r="I16" i="1"/>
  <c r="X16" i="1" s="1"/>
  <c r="J14" i="1"/>
  <c r="I14" i="1"/>
  <c r="W13" i="1"/>
  <c r="J13" i="1"/>
  <c r="I13" i="1"/>
  <c r="H13" i="1" s="1"/>
  <c r="W12" i="1"/>
  <c r="J12" i="1"/>
  <c r="I12" i="1"/>
  <c r="H12" i="1" s="1"/>
  <c r="W11" i="1"/>
  <c r="J11" i="1"/>
  <c r="I11" i="1"/>
  <c r="H11" i="1" s="1"/>
  <c r="W9" i="1"/>
  <c r="Y9" i="1"/>
  <c r="J107" i="1" l="1"/>
  <c r="I107" i="1"/>
  <c r="Y84" i="1"/>
  <c r="O87" i="1"/>
  <c r="O75" i="1"/>
  <c r="O95" i="1"/>
  <c r="O84" i="1"/>
  <c r="X84" i="1"/>
  <c r="O45" i="1"/>
  <c r="O29" i="1"/>
  <c r="O14" i="1"/>
  <c r="O22" i="1"/>
  <c r="O49" i="1"/>
  <c r="O33" i="1"/>
  <c r="O13" i="1"/>
  <c r="O28" i="1"/>
  <c r="O32" i="1"/>
  <c r="O38" i="1"/>
  <c r="O94" i="1"/>
  <c r="O44" i="1"/>
  <c r="O48" i="1"/>
  <c r="O51" i="1"/>
  <c r="O53" i="1"/>
  <c r="O58" i="1"/>
  <c r="O26" i="1"/>
  <c r="O54" i="1"/>
  <c r="O59" i="1"/>
  <c r="O16" i="1"/>
  <c r="O47" i="1"/>
  <c r="O50" i="1"/>
  <c r="O52" i="1"/>
  <c r="O57" i="1"/>
  <c r="O74" i="1"/>
  <c r="O80" i="1"/>
  <c r="O93" i="1"/>
  <c r="O60" i="1"/>
  <c r="O64" i="1"/>
  <c r="O70" i="1"/>
  <c r="O27" i="1"/>
  <c r="O31" i="1"/>
  <c r="O35" i="1"/>
  <c r="O37" i="1"/>
  <c r="O43" i="1"/>
  <c r="O72" i="1"/>
  <c r="O36" i="1"/>
  <c r="O63" i="1"/>
  <c r="O68" i="1"/>
  <c r="O79" i="1"/>
  <c r="O18" i="1"/>
  <c r="O39" i="1"/>
  <c r="O62" i="1"/>
  <c r="O67" i="1"/>
  <c r="O82" i="1"/>
  <c r="O17" i="1"/>
  <c r="O23" i="1"/>
  <c r="O24" i="1"/>
  <c r="O40" i="1"/>
  <c r="O77" i="1"/>
  <c r="O83" i="1"/>
  <c r="O88" i="1"/>
  <c r="O11" i="1"/>
  <c r="O20" i="1"/>
  <c r="O25" i="1"/>
  <c r="O91" i="1"/>
  <c r="O41" i="1"/>
  <c r="O42" i="1"/>
  <c r="O73" i="1"/>
  <c r="O71" i="1"/>
  <c r="X9" i="1"/>
  <c r="Z9" i="1" s="1"/>
  <c r="O9" i="1"/>
  <c r="O19" i="1"/>
  <c r="O12" i="1"/>
  <c r="O30" i="1"/>
  <c r="O34" i="1"/>
  <c r="O46" i="1"/>
  <c r="O56" i="1"/>
  <c r="O78" i="1"/>
  <c r="O89" i="1"/>
  <c r="Y28" i="1"/>
  <c r="H33" i="1"/>
  <c r="Y25" i="1"/>
  <c r="X50" i="1"/>
  <c r="Z50" i="1" s="1"/>
  <c r="X67" i="1"/>
  <c r="Z67" i="1" s="1"/>
  <c r="X49" i="1"/>
  <c r="Z49" i="1" s="1"/>
  <c r="Y74" i="1"/>
  <c r="X61" i="1"/>
  <c r="Z61" i="1" s="1"/>
  <c r="Y91" i="1"/>
  <c r="X25" i="1"/>
  <c r="Z25" i="1" s="1"/>
  <c r="X27" i="1"/>
  <c r="Z27" i="1" s="1"/>
  <c r="X62" i="1"/>
  <c r="Z62" i="1" s="1"/>
  <c r="X77" i="1"/>
  <c r="X79" i="1"/>
  <c r="Y79" i="1"/>
  <c r="X83" i="1"/>
  <c r="X88" i="1"/>
  <c r="X31" i="1"/>
  <c r="Z31" i="1" s="1"/>
  <c r="Y78" i="1"/>
  <c r="H71" i="1"/>
  <c r="H17" i="1"/>
  <c r="X35" i="1"/>
  <c r="Z35" i="1" s="1"/>
  <c r="Y31" i="1"/>
  <c r="Y62" i="1"/>
  <c r="Y67" i="1"/>
  <c r="Y70" i="1"/>
  <c r="X75" i="1"/>
  <c r="Y82" i="1"/>
  <c r="X87" i="1"/>
  <c r="Y20" i="1"/>
  <c r="Y23" i="1"/>
  <c r="Y41" i="1"/>
  <c r="H37" i="1"/>
  <c r="Y39" i="1"/>
  <c r="X28" i="1"/>
  <c r="Z28" i="1" s="1"/>
  <c r="H32" i="1"/>
  <c r="H34" i="1"/>
  <c r="H40" i="1"/>
  <c r="X45" i="1"/>
  <c r="Z45" i="1" s="1"/>
  <c r="X46" i="1"/>
  <c r="Z46" i="1" s="1"/>
  <c r="H51" i="1"/>
  <c r="Y61" i="1"/>
  <c r="Y63" i="1"/>
  <c r="X63" i="1"/>
  <c r="Z63" i="1" s="1"/>
  <c r="H68" i="1"/>
  <c r="Y94" i="1"/>
  <c r="Z16" i="1"/>
  <c r="Y18" i="1"/>
  <c r="H20" i="1"/>
  <c r="X38" i="1"/>
  <c r="Y14" i="1"/>
  <c r="Y32" i="1"/>
  <c r="Y38" i="1"/>
  <c r="X54" i="1"/>
  <c r="Z54" i="1" s="1"/>
  <c r="Y60" i="1"/>
  <c r="Y59" i="1"/>
  <c r="X34" i="1"/>
  <c r="Z34" i="1" s="1"/>
  <c r="Y35" i="1"/>
  <c r="Y47" i="1"/>
  <c r="Y51" i="1"/>
  <c r="H31" i="1"/>
  <c r="X36" i="1"/>
  <c r="Z36" i="1" s="1"/>
  <c r="H22" i="1"/>
  <c r="X53" i="1"/>
  <c r="Z53" i="1" s="1"/>
  <c r="X56" i="1"/>
  <c r="Z56" i="1" s="1"/>
  <c r="Y53" i="1"/>
  <c r="Y58" i="1"/>
  <c r="X18" i="1"/>
  <c r="Z18" i="1" s="1"/>
  <c r="Y40" i="1"/>
  <c r="Y46" i="1"/>
  <c r="Y48" i="1"/>
  <c r="Y19" i="1"/>
  <c r="Y24" i="1"/>
  <c r="H67" i="1"/>
  <c r="H18" i="1"/>
  <c r="Y52" i="1"/>
  <c r="H64" i="1"/>
  <c r="Y49" i="1"/>
  <c r="Y54" i="1"/>
  <c r="X68" i="1"/>
  <c r="Z68" i="1" s="1"/>
  <c r="Y71" i="1"/>
  <c r="X33" i="1"/>
  <c r="Z33" i="1" s="1"/>
  <c r="H36" i="1"/>
  <c r="H45" i="1"/>
  <c r="X22" i="1"/>
  <c r="Z22" i="1" s="1"/>
  <c r="X23" i="1"/>
  <c r="Z23" i="1" s="1"/>
  <c r="Y34" i="1"/>
  <c r="Y36" i="1"/>
  <c r="X41" i="1"/>
  <c r="Z41" i="1" s="1"/>
  <c r="X17" i="1"/>
  <c r="X37" i="1"/>
  <c r="Z37" i="1" s="1"/>
  <c r="H39" i="1"/>
  <c r="W39" i="1" s="1"/>
  <c r="X44" i="1"/>
  <c r="Z44" i="1" s="1"/>
  <c r="Y73" i="1"/>
  <c r="Y80" i="1"/>
  <c r="Y11" i="1"/>
  <c r="Y13" i="1"/>
  <c r="X24" i="1"/>
  <c r="Z24" i="1" s="1"/>
  <c r="H26" i="1"/>
  <c r="X29" i="1"/>
  <c r="Z29" i="1" s="1"/>
  <c r="Y37" i="1"/>
  <c r="Y42" i="1"/>
  <c r="H49" i="1"/>
  <c r="H52" i="1"/>
  <c r="Y68" i="1"/>
  <c r="Y16" i="1"/>
  <c r="Y17" i="1"/>
  <c r="H23" i="1"/>
  <c r="Y29" i="1"/>
  <c r="X30" i="1"/>
  <c r="Z30" i="1" s="1"/>
  <c r="Y43" i="1"/>
  <c r="H50" i="1"/>
  <c r="X52" i="1"/>
  <c r="Z52" i="1" s="1"/>
  <c r="H61" i="1"/>
  <c r="X71" i="1"/>
  <c r="Z71" i="1" s="1"/>
  <c r="Y72" i="1"/>
  <c r="Y83" i="1"/>
  <c r="Y89" i="1"/>
  <c r="H19" i="1"/>
  <c r="X40" i="1"/>
  <c r="Z40" i="1" s="1"/>
  <c r="H57" i="1"/>
  <c r="X64" i="1"/>
  <c r="Z64" i="1" s="1"/>
  <c r="Y76" i="1"/>
  <c r="X11" i="1"/>
  <c r="Z11" i="1" s="1"/>
  <c r="H16" i="1"/>
  <c r="H25" i="1"/>
  <c r="H35" i="1"/>
  <c r="H38" i="1"/>
  <c r="Y45" i="1"/>
  <c r="Y50" i="1"/>
  <c r="H53" i="1"/>
  <c r="H54" i="1"/>
  <c r="Y57" i="1"/>
  <c r="X74" i="1"/>
  <c r="X39" i="1"/>
  <c r="X51" i="1"/>
  <c r="Z51" i="1" s="1"/>
  <c r="Y22" i="1"/>
  <c r="Y30" i="1"/>
  <c r="H56" i="1"/>
  <c r="Y77" i="1"/>
  <c r="X82" i="1"/>
  <c r="Y88" i="1"/>
  <c r="Y44" i="1"/>
  <c r="X48" i="1"/>
  <c r="Z48" i="1" s="1"/>
  <c r="H70" i="1"/>
  <c r="H30" i="1"/>
  <c r="Y33" i="1"/>
  <c r="Y56" i="1"/>
  <c r="H58" i="1"/>
  <c r="X60" i="1"/>
  <c r="Z60" i="1" s="1"/>
  <c r="X73" i="1"/>
  <c r="Z73" i="1" s="1"/>
  <c r="Y75" i="1"/>
  <c r="X80" i="1"/>
  <c r="Y87" i="1"/>
  <c r="Y95" i="1"/>
  <c r="X13" i="1"/>
  <c r="Z13" i="1" s="1"/>
  <c r="Y12" i="1"/>
  <c r="X14" i="1"/>
  <c r="Z14" i="1" s="1"/>
  <c r="H24" i="1"/>
  <c r="Y26" i="1"/>
  <c r="Y27" i="1"/>
  <c r="X47" i="1"/>
  <c r="Z47" i="1" s="1"/>
  <c r="Y64" i="1"/>
  <c r="X78" i="1"/>
  <c r="X89" i="1"/>
  <c r="X91" i="1"/>
  <c r="X93" i="1"/>
  <c r="X94" i="1"/>
  <c r="X95" i="1"/>
  <c r="X12" i="1"/>
  <c r="Z12" i="1" s="1"/>
  <c r="X42" i="1"/>
  <c r="X43" i="1"/>
  <c r="H48" i="1"/>
  <c r="X59" i="1"/>
  <c r="Z59" i="1" s="1"/>
  <c r="H63" i="1"/>
  <c r="X72" i="1"/>
  <c r="X26" i="1"/>
  <c r="Z26" i="1" s="1"/>
  <c r="H29" i="1"/>
  <c r="H46" i="1"/>
  <c r="H47" i="1"/>
  <c r="X58" i="1"/>
  <c r="Z58" i="1" s="1"/>
  <c r="H62" i="1"/>
  <c r="H74" i="1"/>
  <c r="V74" i="1" s="1"/>
  <c r="H75" i="1"/>
  <c r="V75" i="1" s="1"/>
  <c r="W75" i="1" s="1"/>
  <c r="H77" i="1"/>
  <c r="V77" i="1" s="1"/>
  <c r="W77" i="1" s="1"/>
  <c r="H78" i="1"/>
  <c r="V78" i="1" s="1"/>
  <c r="W78" i="1" s="1"/>
  <c r="H79" i="1"/>
  <c r="V79" i="1" s="1"/>
  <c r="H80" i="1"/>
  <c r="V80" i="1" s="1"/>
  <c r="W80" i="1" s="1"/>
  <c r="H82" i="1"/>
  <c r="V82" i="1" s="1"/>
  <c r="W82" i="1" s="1"/>
  <c r="H83" i="1"/>
  <c r="V83" i="1" s="1"/>
  <c r="W83" i="1" s="1"/>
  <c r="H84" i="1"/>
  <c r="V84" i="1" s="1"/>
  <c r="W84" i="1" s="1"/>
  <c r="H87" i="1"/>
  <c r="V87" i="1" s="1"/>
  <c r="W87" i="1" s="1"/>
  <c r="H88" i="1"/>
  <c r="V88" i="1" s="1"/>
  <c r="W88" i="1" s="1"/>
  <c r="H14" i="1"/>
  <c r="H28" i="1"/>
  <c r="X57" i="1"/>
  <c r="Z57" i="1" s="1"/>
  <c r="H73" i="1"/>
  <c r="H89" i="1"/>
  <c r="V89" i="1" s="1"/>
  <c r="W89" i="1" s="1"/>
  <c r="H91" i="1"/>
  <c r="V91" i="1" s="1"/>
  <c r="W91" i="1" s="1"/>
  <c r="H93" i="1"/>
  <c r="V93" i="1" s="1"/>
  <c r="W93" i="1" s="1"/>
  <c r="H94" i="1"/>
  <c r="V94" i="1" s="1"/>
  <c r="W94" i="1" s="1"/>
  <c r="H95" i="1"/>
  <c r="V95" i="1" s="1"/>
  <c r="W95" i="1" s="1"/>
  <c r="H27" i="1"/>
  <c r="H42" i="1"/>
  <c r="H43" i="1"/>
  <c r="W43" i="1" s="1"/>
  <c r="H44" i="1"/>
  <c r="H60" i="1"/>
  <c r="X70" i="1"/>
  <c r="Z70" i="1" s="1"/>
  <c r="H72" i="1"/>
  <c r="H59" i="1"/>
  <c r="X20" i="1"/>
  <c r="Z20" i="1" s="1"/>
  <c r="X32" i="1"/>
  <c r="Z32" i="1" s="1"/>
  <c r="X19" i="1"/>
  <c r="Z19" i="1" s="1"/>
  <c r="W74" i="1" l="1"/>
  <c r="Z74" i="1" s="1"/>
  <c r="W72" i="1"/>
  <c r="Z72" i="1" s="1"/>
  <c r="Z43" i="1"/>
  <c r="W42" i="1"/>
  <c r="Z42" i="1" s="1"/>
  <c r="W79" i="1"/>
  <c r="Z79" i="1" s="1"/>
  <c r="Y107" i="1"/>
  <c r="Z77" i="1"/>
  <c r="W17" i="1"/>
  <c r="Z87" i="1"/>
  <c r="Z83" i="1"/>
  <c r="Z88" i="1"/>
  <c r="Z84" i="1"/>
  <c r="Z93" i="1"/>
  <c r="Z89" i="1"/>
  <c r="Z75" i="1"/>
  <c r="Z78" i="1"/>
  <c r="Z94" i="1"/>
  <c r="Z95" i="1"/>
  <c r="Z82" i="1"/>
  <c r="Z80" i="1"/>
  <c r="Z39" i="1"/>
  <c r="Z91" i="1"/>
  <c r="Z17" i="1" l="1"/>
  <c r="W38" i="1"/>
  <c r="Z38" i="1" l="1"/>
  <c r="X76" i="1" l="1"/>
  <c r="X107" i="1" s="1"/>
  <c r="O76" i="1"/>
  <c r="O107" i="1" s="1"/>
  <c r="H76" i="1"/>
  <c r="H107" i="1" s="1"/>
  <c r="V76" i="1" l="1"/>
  <c r="V107" i="1" s="1"/>
  <c r="W76" i="1" l="1"/>
  <c r="Z76" i="1" l="1"/>
  <c r="W107" i="1"/>
  <c r="Z107" i="1" l="1"/>
</calcChain>
</file>

<file path=xl/sharedStrings.xml><?xml version="1.0" encoding="utf-8"?>
<sst xmlns="http://schemas.openxmlformats.org/spreadsheetml/2006/main" count="544" uniqueCount="216">
  <si>
    <t/>
  </si>
  <si>
    <t>Genero</t>
  </si>
  <si>
    <t>Seguridad Social (LEY 87-10)</t>
  </si>
  <si>
    <t xml:space="preserve">Otras Retenciones </t>
  </si>
  <si>
    <t>Total Retenciones y Aportes s.s</t>
  </si>
  <si>
    <t>Reg.
No.</t>
  </si>
  <si>
    <t>Nombre</t>
  </si>
  <si>
    <t>Departamento</t>
  </si>
  <si>
    <t>Cargo</t>
  </si>
  <si>
    <t>Categoria</t>
  </si>
  <si>
    <t>Sueldo Bruto
(RD$)</t>
  </si>
  <si>
    <t>Monto imponible IRS</t>
  </si>
  <si>
    <t>Seguro de Pensión
(9.97%)</t>
  </si>
  <si>
    <t xml:space="preserve">Riesgos
Laborales Patronal
(1.10%) </t>
  </si>
  <si>
    <t xml:space="preserve">Seguro de Salud
(10.13%) </t>
  </si>
  <si>
    <t>Registro
Dependientes
Adicionales</t>
  </si>
  <si>
    <t>Subtotal
TSS</t>
  </si>
  <si>
    <t>Inavi</t>
  </si>
  <si>
    <t>Cooperativa</t>
  </si>
  <si>
    <t>Almuerzo</t>
  </si>
  <si>
    <t>Seguro complementario</t>
  </si>
  <si>
    <t>Asociación de Servidores  Público</t>
  </si>
  <si>
    <t>Impuetos Sobre la Renta</t>
  </si>
  <si>
    <t>Total de Descuentos</t>
  </si>
  <si>
    <t>Deducción Empleado</t>
  </si>
  <si>
    <t>Aportes
Patronal</t>
  </si>
  <si>
    <t>Sueldo Neto
(RD$)</t>
  </si>
  <si>
    <t>Empleado
(2.87%)</t>
  </si>
  <si>
    <t>Patronal (7.10%)</t>
  </si>
  <si>
    <t>Empleado
(3.04%)</t>
  </si>
  <si>
    <t>Patronal
(7.09%)</t>
  </si>
  <si>
    <t>M</t>
  </si>
  <si>
    <t xml:space="preserve">DESPACHO DEL GERENTE </t>
  </si>
  <si>
    <t>GERENTE GENERAL</t>
  </si>
  <si>
    <t>LIBRE NOMBRAMIENTO Y REMOCION</t>
  </si>
  <si>
    <t>F</t>
  </si>
  <si>
    <t xml:space="preserve">WLADISLAO  GUZMAN </t>
  </si>
  <si>
    <t>CONTRALORIA</t>
  </si>
  <si>
    <t>CONTRALOR</t>
  </si>
  <si>
    <t>JUAN CARLOS TEJADA MUÑOZ</t>
  </si>
  <si>
    <t>FIJO</t>
  </si>
  <si>
    <t>XIOMARA ISABEL CAMINERO SANCHEZ</t>
  </si>
  <si>
    <t>DIRECCION DE RECURSOS HUMANOS</t>
  </si>
  <si>
    <t>DIRECTOR (A) DE RECURSOS HUMANOS</t>
  </si>
  <si>
    <t>NELSA MATILDE VASQUEZ MARTINEZ</t>
  </si>
  <si>
    <t>DIRECTOR (A) COMUNICACION</t>
  </si>
  <si>
    <t>EUDES DARIO, REYES CACERES</t>
  </si>
  <si>
    <t>DIRECTOR DE FISCALIZACION Y CONTROL FINANCIERO DEL CNSS</t>
  </si>
  <si>
    <t>ASISTENTE</t>
  </si>
  <si>
    <t>DE CONFIANZA</t>
  </si>
  <si>
    <t>DIRECCION FINANCIERA</t>
  </si>
  <si>
    <t>MIOSSOTTIS MARLENNY BAEZ RODRIGUEZ</t>
  </si>
  <si>
    <t xml:space="preserve">DIRECCION ADMINISTRATIVA </t>
  </si>
  <si>
    <t xml:space="preserve">ENCARGADO (A) DE DIVISION DE COMPRAS Y CONTRATACIONES </t>
  </si>
  <si>
    <t>CARRERA ADMINISTRATIVA</t>
  </si>
  <si>
    <t>VILMA MARIA CASTRO GONZALEZ</t>
  </si>
  <si>
    <t>ENCARGADO (A) DE DPTO DE ANALISIS PRESPUESTARIO Y FINANCIERO</t>
  </si>
  <si>
    <t>LUZ YUBERKIS QUITERIO PORTES</t>
  </si>
  <si>
    <t>DIRECCION ADMINISTRATIVA</t>
  </si>
  <si>
    <t>ENCARGADO (A) DE SECCION DE ARCHIVO CENTRAL</t>
  </si>
  <si>
    <t>RAFAEL MEDINA BAEZ</t>
  </si>
  <si>
    <t>ENCARGADO (A) DE SECCION DE MANTENIMIENTO DEL EDIFICIO</t>
  </si>
  <si>
    <t>MIOSOTIS ELIZABETH CABRAL ROJAS DE MONTE</t>
  </si>
  <si>
    <t>SECCION DE SECRETARIA DEL CNSS</t>
  </si>
  <si>
    <t>ENCARGADO (A) DE DPTO DE SECRETARIA ADMINISTRATIVA DEL CNSS</t>
  </si>
  <si>
    <t>YESSICA BEATRIZ SOTO DEL VALLE</t>
  </si>
  <si>
    <t>DIRECCION JURIDICA</t>
  </si>
  <si>
    <t>ABOGADA I</t>
  </si>
  <si>
    <t>ROSA JULIANA MUÑOZ PERALTA DE GRULLON</t>
  </si>
  <si>
    <t>ABOGADA II</t>
  </si>
  <si>
    <t>MARIA CRISTINA ABREU MUÑOZ</t>
  </si>
  <si>
    <t>ANALISTA DE RECURSOS HUMANOS</t>
  </si>
  <si>
    <t>BERNARDO ANTONIO ACEVEDO DELGADO</t>
  </si>
  <si>
    <t>DIRECCION DE POLITICAS DEL SEGURO DE VEJEZ DISCAPACIDAD Y SOBREVIVENCIA</t>
  </si>
  <si>
    <t>ANALISTA DEL SEGURO DE VEJEZ DISCAPACIDAD Y SOBREVIVENCIA</t>
  </si>
  <si>
    <t>MERALDA DEL CARMEN DE LA ROSA MEDINA</t>
  </si>
  <si>
    <t>ANALISTA LEGAL</t>
  </si>
  <si>
    <t>JUAN LEONIDAS CASTRO JIMENEZ</t>
  </si>
  <si>
    <t>AUDITOR (A) INFORMATICO II DEL SISTEMA DOMINICANO DE SEGURIDAD SOCIAL</t>
  </si>
  <si>
    <t>JULISSA HAYDEE GARCIA SANTANA</t>
  </si>
  <si>
    <t>AUDITOR (A) LEGAL II DEL SISTEMA DOMINICADO DE SEGURIDAD SOCIAL</t>
  </si>
  <si>
    <t>CHARNELA GUZMAN ROSARIO</t>
  </si>
  <si>
    <t>AUDITOR (A) LEGAL I DEL SISTEMA DOMINICADO DE SEGURIDAD SOCIAL</t>
  </si>
  <si>
    <t>JULIO ANTONIO LENDEBORG RODRIGUEZ</t>
  </si>
  <si>
    <t>ELIZABETH DE LA CRUZ GOMEZ DE WRIGHT</t>
  </si>
  <si>
    <t>DOMINGA RAMIREZ GARCIA</t>
  </si>
  <si>
    <t>DIRECCION DE COMUNICACIONES</t>
  </si>
  <si>
    <t>PERIODISTA</t>
  </si>
  <si>
    <t>GILMA GISSELL SANTANA GUZMAN</t>
  </si>
  <si>
    <t>DIRECCION DE PLANIFICACION Y DESARROLLO</t>
  </si>
  <si>
    <t>ANALISTA DE DATOS ESTADISTICOS</t>
  </si>
  <si>
    <t>MANAURIS TRINIDAD TRINIDAD</t>
  </si>
  <si>
    <t>DIRECCION DE TECNOLOGIA</t>
  </si>
  <si>
    <t>SOPORTE MESA DE AYUDA (HELPDESK)</t>
  </si>
  <si>
    <t>VICTOR ALBERTO SANCHEZ ALVAREZ</t>
  </si>
  <si>
    <t>SOPORTE TECNICO INFORMATICO</t>
  </si>
  <si>
    <t>JENNY ARLENE ELSEVYF CAMACHO</t>
  </si>
  <si>
    <t>TECNICO ADMINISTRATIVO</t>
  </si>
  <si>
    <t>ALEXIS RAMIREZ RODRIGUEZ</t>
  </si>
  <si>
    <t>TECNICO DE CONTABILIDAD</t>
  </si>
  <si>
    <t>KALI ARTEMIZA VARGAS ARIAS</t>
  </si>
  <si>
    <t>PARALEGAL</t>
  </si>
  <si>
    <t>ROSA ESMERALDA ESPINAL GERMAN</t>
  </si>
  <si>
    <t>TECNICO EN RECURSOS HUMANOS</t>
  </si>
  <si>
    <t>ANA MARIA SANCHEZ MIGUEL</t>
  </si>
  <si>
    <t>AUXILIAR ADMINISTRATIVO</t>
  </si>
  <si>
    <t>CRISTINA ALTAGRACIA CRUZ D COO</t>
  </si>
  <si>
    <t>PRESIDENCIA DEL CNSS</t>
  </si>
  <si>
    <t xml:space="preserve">ASISTENTE </t>
  </si>
  <si>
    <t>ROBERT ALEXANDER JONES SILVA</t>
  </si>
  <si>
    <t>GRISEL ENCARNACION PEREZ</t>
  </si>
  <si>
    <t>DIRECCION DE COMISIONES MEDICAS</t>
  </si>
  <si>
    <t>ESTATUTOS SIMPLIFICADO</t>
  </si>
  <si>
    <t>MAGDELINE DEL CARMEN MOREL GARCIA</t>
  </si>
  <si>
    <t>CRISTINA PLACENCIO PINALES</t>
  </si>
  <si>
    <t>MARIA DOMINGA ALCANTARA BIDO</t>
  </si>
  <si>
    <t>YERIKA BERIHUETE ENCARNACION</t>
  </si>
  <si>
    <t>WANDA YOCARES ALCANTARA DIAZ</t>
  </si>
  <si>
    <t>ANA YAMILET PEREZ LAGARES</t>
  </si>
  <si>
    <t>CRISTHOFER NOESI CASTILLO</t>
  </si>
  <si>
    <t>ROSAURA HERASME</t>
  </si>
  <si>
    <t>NICOLAX JUNIOR LUCIANO BLANCO</t>
  </si>
  <si>
    <t>RADHAMES MARTE FERNANDEZ</t>
  </si>
  <si>
    <t>RUDDY SOLANO JIMENEZ</t>
  </si>
  <si>
    <t xml:space="preserve">AUXILIAR ADMINISTRATIVO </t>
  </si>
  <si>
    <t>LORENZO MANUEL SOSA VENTURA</t>
  </si>
  <si>
    <t>SUPERVISOR DE TRANSPORTACION</t>
  </si>
  <si>
    <t>DIANA CAROLINA DE LA CRUZ ALCANTARA</t>
  </si>
  <si>
    <t>AUXILIAR ADMINISTRATIVA</t>
  </si>
  <si>
    <t>GLORIA DIORELLA BRAVO PERALTA</t>
  </si>
  <si>
    <t>RECEPCIONISTA</t>
  </si>
  <si>
    <t>ALEJANDRINA CARMONA VILLITO</t>
  </si>
  <si>
    <t>DIRECCION COMUNICACIONES</t>
  </si>
  <si>
    <t>SUPERVISOR DE MAYORDOMIA</t>
  </si>
  <si>
    <t xml:space="preserve">YOHANNY CANDELARIO </t>
  </si>
  <si>
    <t>AUXILIAR DE ATENCION AL CIUDADANO</t>
  </si>
  <si>
    <t xml:space="preserve">RICARDO ARAUJO </t>
  </si>
  <si>
    <t>MENSAJERO EXTERNO</t>
  </si>
  <si>
    <t>PAULA DRULLAR CALCADO</t>
  </si>
  <si>
    <t>CAMARERA</t>
  </si>
  <si>
    <t>KENYA JIMENEZ VASQUEZ</t>
  </si>
  <si>
    <t>CARLOS MANUEL TAVAREZ BELTRE</t>
  </si>
  <si>
    <t xml:space="preserve">AYUDANTE DE MANTENIMIENTO </t>
  </si>
  <si>
    <t>RICARDO CRUZ CONTRERAS</t>
  </si>
  <si>
    <t>JENNIFER PEREZ ESTEVEZ</t>
  </si>
  <si>
    <t xml:space="preserve">DIRECCION DE COMUNICACIONES </t>
  </si>
  <si>
    <t xml:space="preserve">FERNANDO JOSE ESCOBAR GARCIA </t>
  </si>
  <si>
    <t>DIRECCION DE POLITICAS DEL SEGURO RIESGOS LABORALES</t>
  </si>
  <si>
    <t xml:space="preserve">KARLA SANCHEZ </t>
  </si>
  <si>
    <t xml:space="preserve">AUXILIAR DE ACCESO A LA INFORMACIÓN </t>
  </si>
  <si>
    <t>CESAR FRANCISCO AGRAMONTE GARCIA</t>
  </si>
  <si>
    <t>YECENIA RAMON GARCIA</t>
  </si>
  <si>
    <t>DIRECCION DE COMESIONES MEDICAS</t>
  </si>
  <si>
    <t>NAILA MAGDALIT DIAZ BATISTA</t>
  </si>
  <si>
    <t>CONSERJE</t>
  </si>
  <si>
    <t>PATRIA DOMINGA MARTINEZ SORIANO</t>
  </si>
  <si>
    <t>VIANNES ALTAGRACIA PEREZ LUNA</t>
  </si>
  <si>
    <t>SONIA RAMIREZ DEL ROSARIO</t>
  </si>
  <si>
    <t>YAKAYRA DE LA CRUZ FAMILIA</t>
  </si>
  <si>
    <t xml:space="preserve">HECTOR OTONIEL JIMENEZ </t>
  </si>
  <si>
    <t>CHOFER</t>
  </si>
  <si>
    <t>JESUS ANTONIO SANTOS GIL</t>
  </si>
  <si>
    <t>SANDRO SANTO MENDEZ RAMIREZ</t>
  </si>
  <si>
    <t xml:space="preserve">CHOFER </t>
  </si>
  <si>
    <t>JUNIOR RADHAMES PEÑA POLANCO</t>
  </si>
  <si>
    <t>JUSTA MARIA LIRIANO GARCIA</t>
  </si>
  <si>
    <t>ASESOR</t>
  </si>
  <si>
    <t>EPIFANIO FIGUEREO</t>
  </si>
  <si>
    <t>LUZ BERNARDA PAULINO</t>
  </si>
  <si>
    <t xml:space="preserve">YINNA FRANCISCA NOVA BELTRE </t>
  </si>
  <si>
    <t>LIZ ESTEFI ABREU DAVID</t>
  </si>
  <si>
    <t>YOSELIN ENCARNACION</t>
  </si>
  <si>
    <t>FASTIMA DE OLEO OTAÑO</t>
  </si>
  <si>
    <t>YANERIS PEREZ GONZALEZ</t>
  </si>
  <si>
    <t>TOTAL</t>
  </si>
  <si>
    <t xml:space="preserve">Responsables </t>
  </si>
  <si>
    <t>Xiomara Caminero</t>
  </si>
  <si>
    <t>Carla Santana</t>
  </si>
  <si>
    <t>Directora de Recursos Humanos</t>
  </si>
  <si>
    <t>Enc. Div. de Registro y Control de Nómina</t>
  </si>
  <si>
    <t>AURA CELESTE FERNANDEZ DE MORENO</t>
  </si>
  <si>
    <t>GERENCIA GENERAL</t>
  </si>
  <si>
    <t xml:space="preserve">BIRGIL ALBERTO RAFAEL RAFAEL </t>
  </si>
  <si>
    <t>JULISSA JOHANNA RODRIGUEZ</t>
  </si>
  <si>
    <t>REYNALDO MIGUEL MOJICA BERIGUETE</t>
  </si>
  <si>
    <t>ROSANNA DEL ORBE VALDEPISNA</t>
  </si>
  <si>
    <t>JENNY TAPIA SANCHEZ</t>
  </si>
  <si>
    <t>YENNELLY DAYANSKY AMEZQUITA FERMIN</t>
  </si>
  <si>
    <t>GREGORI DANIEL BRITO</t>
  </si>
  <si>
    <t>MINELYS ZABALA TAPIA</t>
  </si>
  <si>
    <t>JULISSA RAFAEL DIAZ</t>
  </si>
  <si>
    <t xml:space="preserve">AUDITOR (A) LEGAL </t>
  </si>
  <si>
    <t>SUPERVISOR DE ALMACENES Y SUMINISTROS</t>
  </si>
  <si>
    <t>VIRTUDES MEDINA CUEVAS</t>
  </si>
  <si>
    <t>ASISTENTE DE CONFIANZA</t>
  </si>
  <si>
    <t>FATIMA AURORA ASENJO LUGO</t>
  </si>
  <si>
    <t>COORDINACION GENERAL TECNICA</t>
  </si>
  <si>
    <t>ASESORA EN MATERIA DE SALUD REGIMEN CONTRIBUTIVO SUBSIDIADO</t>
  </si>
  <si>
    <t>ANA LUISA CACERES</t>
  </si>
  <si>
    <t>REYNA POLANCO MUÑOZ</t>
  </si>
  <si>
    <t>KELVIS GABRIEL MARTINEZ MARTINEZ</t>
  </si>
  <si>
    <t>AUXILIAR TRANSPORTACION</t>
  </si>
  <si>
    <t>ALEXANDER RAFAEL MEDINA</t>
  </si>
  <si>
    <t>DIRECCION DE COMUNICACION</t>
  </si>
  <si>
    <t>ANNELINE ESCOTO</t>
  </si>
  <si>
    <t>SUB GERENTE GENERAL</t>
  </si>
  <si>
    <t>HECTOR RAFAEL DE LA CRUZ BATISTA</t>
  </si>
  <si>
    <t>EDGAR GARCIA CABRERA</t>
  </si>
  <si>
    <t>WENDY MARTINEZ AGRAMONTE</t>
  </si>
  <si>
    <t>MARTIN DE JESUS MOYA</t>
  </si>
  <si>
    <t>LAURA CEPEDA SANCHEZ</t>
  </si>
  <si>
    <t>ENCARGADO DPTO. REVISION Y ANALISIS</t>
  </si>
  <si>
    <t>GARIBALDI VASQUEZ CABRERA</t>
  </si>
  <si>
    <t>SERGIO COLON PIMENTEL</t>
  </si>
  <si>
    <t>SERVICIOS GENERALES</t>
  </si>
  <si>
    <t>CONSEJO NACIONAL DE SEGURIDAD SOCIAL
NOMINA DE SUELDOS PERSONAL FIJO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</si>
</sst>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&quot;$&quot;#,##0.000;[Red]&quot;$&quot;#,##0.000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1"/>
      <name val="Calibri"/>
      <family val="2"/>
    </font>
    <font>
      <sz val="12"/>
      <color theme="1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name val="Arial"/>
      <family val="2"/>
    </font>
    <font>
      <sz val="13"/>
      <color theme="1"/>
      <name val="Calibri"/>
      <family val="2"/>
      <scheme val="minor"/>
    </font>
    <font>
      <b/>
      <sz val="11"/>
      <name val="Arial"/>
      <family val="2"/>
    </font>
    <font>
      <sz val="9"/>
      <name val="Calibri"/>
      <family val="2"/>
      <scheme val="minor"/>
    </font>
    <font>
      <sz val="13"/>
      <name val="Calibri"/>
      <family val="2"/>
      <scheme val="minor"/>
    </font>
    <font>
      <sz val="8"/>
      <name val="Calibri"/>
      <family val="2"/>
      <scheme val="minor"/>
    </font>
    <font>
      <sz val="12"/>
      <name val="Victor"/>
    </font>
    <font>
      <sz val="8"/>
      <color rgb="FFFF0000"/>
      <name val="Arial"/>
      <family val="2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rgb="FF6495ED"/>
      </patternFill>
    </fill>
    <fill>
      <patternFill patternType="solid">
        <fgColor theme="0" tint="-0.34998626667073579"/>
        <bgColor rgb="FFC0C0C0"/>
      </patternFill>
    </fill>
    <fill>
      <patternFill patternType="solid">
        <fgColor theme="0" tint="-0.3499862666707357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64" fontId="0" fillId="0" borderId="0" xfId="1" applyFont="1" applyFill="1"/>
    <xf numFmtId="164" fontId="1" fillId="2" borderId="0" xfId="1" applyFont="1" applyFill="1" applyAlignment="1">
      <alignment horizontal="left"/>
    </xf>
    <xf numFmtId="164" fontId="0" fillId="2" borderId="0" xfId="1" applyFont="1" applyFill="1"/>
    <xf numFmtId="4" fontId="2" fillId="0" borderId="0" xfId="0" applyNumberFormat="1" applyFont="1"/>
    <xf numFmtId="164" fontId="7" fillId="0" borderId="0" xfId="1" applyFont="1" applyFill="1" applyAlignment="1"/>
    <xf numFmtId="164" fontId="7" fillId="0" borderId="0" xfId="1" applyFont="1" applyFill="1"/>
    <xf numFmtId="164" fontId="7" fillId="0" borderId="0" xfId="1" applyFont="1" applyFill="1" applyBorder="1"/>
    <xf numFmtId="164" fontId="0" fillId="0" borderId="0" xfId="1" applyFont="1" applyFill="1" applyAlignment="1"/>
    <xf numFmtId="164" fontId="0" fillId="0" borderId="0" xfId="1" applyFont="1"/>
    <xf numFmtId="164" fontId="0" fillId="0" borderId="0" xfId="1" applyFont="1" applyAlignment="1"/>
    <xf numFmtId="164" fontId="0" fillId="3" borderId="0" xfId="1" applyFont="1" applyFill="1"/>
    <xf numFmtId="164" fontId="5" fillId="0" borderId="0" xfId="1" applyFont="1" applyFill="1" applyAlignment="1"/>
    <xf numFmtId="164" fontId="5" fillId="0" borderId="0" xfId="1" applyFont="1" applyFill="1"/>
    <xf numFmtId="164" fontId="5" fillId="0" borderId="0" xfId="1" applyFont="1" applyFill="1" applyBorder="1"/>
    <xf numFmtId="164" fontId="9" fillId="2" borderId="0" xfId="1" applyFont="1" applyFill="1"/>
    <xf numFmtId="0" fontId="6" fillId="2" borderId="0" xfId="0" applyFont="1" applyFill="1"/>
    <xf numFmtId="0" fontId="4" fillId="5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wrapText="1"/>
    </xf>
    <xf numFmtId="164" fontId="4" fillId="5" borderId="2" xfId="1" applyFont="1" applyFill="1" applyBorder="1" applyAlignment="1">
      <alignment vertical="center" readingOrder="1"/>
    </xf>
    <xf numFmtId="0" fontId="4" fillId="5" borderId="3" xfId="0" applyFont="1" applyFill="1" applyBorder="1" applyAlignment="1">
      <alignment vertical="center" readingOrder="1"/>
    </xf>
    <xf numFmtId="164" fontId="5" fillId="6" borderId="17" xfId="1" applyFont="1" applyFill="1" applyBorder="1" applyAlignment="1">
      <alignment vertical="top" wrapText="1"/>
    </xf>
    <xf numFmtId="164" fontId="4" fillId="4" borderId="28" xfId="1" applyFont="1" applyFill="1" applyBorder="1" applyAlignment="1">
      <alignment vertical="center" wrapText="1" readingOrder="1"/>
    </xf>
    <xf numFmtId="0" fontId="4" fillId="5" borderId="5" xfId="0" applyFont="1" applyFill="1" applyBorder="1" applyAlignment="1">
      <alignment horizontal="center" wrapText="1"/>
    </xf>
    <xf numFmtId="164" fontId="4" fillId="5" borderId="5" xfId="1" applyFont="1" applyFill="1" applyBorder="1" applyAlignment="1">
      <alignment vertical="center" wrapText="1" readingOrder="1"/>
    </xf>
    <xf numFmtId="0" fontId="4" fillId="5" borderId="6" xfId="0" applyFont="1" applyFill="1" applyBorder="1" applyAlignment="1">
      <alignment vertical="center" wrapText="1" readingOrder="1"/>
    </xf>
    <xf numFmtId="0" fontId="4" fillId="5" borderId="8" xfId="0" applyFont="1" applyFill="1" applyBorder="1" applyAlignment="1">
      <alignment vertical="center" wrapText="1" readingOrder="1"/>
    </xf>
    <xf numFmtId="164" fontId="4" fillId="4" borderId="27" xfId="1" applyFont="1" applyFill="1" applyBorder="1" applyAlignment="1">
      <alignment horizontal="center" vertical="center" wrapText="1" readingOrder="1"/>
    </xf>
    <xf numFmtId="0" fontId="4" fillId="5" borderId="12" xfId="0" applyFont="1" applyFill="1" applyBorder="1" applyAlignment="1">
      <alignment horizontal="center" wrapText="1"/>
    </xf>
    <xf numFmtId="0" fontId="4" fillId="5" borderId="12" xfId="0" applyFont="1" applyFill="1" applyBorder="1" applyAlignment="1">
      <alignment wrapText="1"/>
    </xf>
    <xf numFmtId="164" fontId="4" fillId="5" borderId="12" xfId="1" applyFont="1" applyFill="1" applyBorder="1" applyAlignment="1">
      <alignment vertical="center" wrapText="1" readingOrder="1"/>
    </xf>
    <xf numFmtId="0" fontId="4" fillId="5" borderId="13" xfId="0" applyFont="1" applyFill="1" applyBorder="1" applyAlignment="1">
      <alignment vertical="center" wrapText="1" readingOrder="1"/>
    </xf>
    <xf numFmtId="0" fontId="4" fillId="5" borderId="22" xfId="0" applyFont="1" applyFill="1" applyBorder="1" applyAlignment="1">
      <alignment vertical="center" wrapText="1" readingOrder="1"/>
    </xf>
    <xf numFmtId="0" fontId="4" fillId="5" borderId="21" xfId="0" applyFont="1" applyFill="1" applyBorder="1" applyAlignment="1">
      <alignment vertical="center" wrapText="1" readingOrder="1"/>
    </xf>
    <xf numFmtId="0" fontId="4" fillId="5" borderId="25" xfId="0" applyFont="1" applyFill="1" applyBorder="1" applyAlignment="1">
      <alignment vertical="center" wrapText="1" readingOrder="1"/>
    </xf>
    <xf numFmtId="164" fontId="4" fillId="4" borderId="12" xfId="1" applyFont="1" applyFill="1" applyBorder="1" applyAlignment="1">
      <alignment horizontal="center" vertical="center" wrapText="1" readingOrder="1"/>
    </xf>
    <xf numFmtId="164" fontId="4" fillId="4" borderId="15" xfId="1" applyFont="1" applyFill="1" applyBorder="1" applyAlignment="1">
      <alignment horizontal="center" vertical="center" wrapText="1" readingOrder="1"/>
    </xf>
    <xf numFmtId="164" fontId="4" fillId="4" borderId="8" xfId="1" applyFont="1" applyFill="1" applyBorder="1" applyAlignment="1">
      <alignment horizontal="center" vertical="center" wrapText="1" readingOrder="1"/>
    </xf>
    <xf numFmtId="164" fontId="4" fillId="4" borderId="7" xfId="1" applyFont="1" applyFill="1" applyBorder="1" applyAlignment="1">
      <alignment horizontal="center" vertical="center" wrapText="1" readingOrder="1"/>
    </xf>
    <xf numFmtId="0" fontId="4" fillId="4" borderId="29" xfId="0" applyFont="1" applyFill="1" applyBorder="1" applyAlignment="1">
      <alignment horizontal="center" vertical="center" wrapText="1" readingOrder="1"/>
    </xf>
    <xf numFmtId="0" fontId="4" fillId="4" borderId="30" xfId="0" applyFont="1" applyFill="1" applyBorder="1" applyAlignment="1">
      <alignment horizontal="center" vertical="center" wrapText="1" readingOrder="1"/>
    </xf>
    <xf numFmtId="0" fontId="4" fillId="4" borderId="31" xfId="0" applyFont="1" applyFill="1" applyBorder="1" applyAlignment="1">
      <alignment horizontal="center" vertical="center" wrapText="1" readingOrder="1"/>
    </xf>
    <xf numFmtId="0" fontId="4" fillId="5" borderId="12" xfId="0" applyFont="1" applyFill="1" applyBorder="1" applyAlignment="1">
      <alignment vertical="center" wrapText="1"/>
    </xf>
    <xf numFmtId="4" fontId="4" fillId="5" borderId="25" xfId="0" applyNumberFormat="1" applyFont="1" applyFill="1" applyBorder="1" applyAlignment="1">
      <alignment horizontal="center" vertical="center" wrapText="1" readingOrder="1"/>
    </xf>
    <xf numFmtId="0" fontId="5" fillId="0" borderId="8" xfId="0" applyFont="1" applyBorder="1" applyAlignment="1">
      <alignment horizontal="left" vertical="center"/>
    </xf>
    <xf numFmtId="4" fontId="5" fillId="0" borderId="9" xfId="0" applyNumberFormat="1" applyFont="1" applyBorder="1" applyAlignment="1">
      <alignment horizontal="right" vertical="center" wrapText="1"/>
    </xf>
    <xf numFmtId="0" fontId="5" fillId="0" borderId="9" xfId="0" applyFont="1" applyBorder="1" applyAlignment="1">
      <alignment horizontal="left" vertical="center" wrapText="1"/>
    </xf>
    <xf numFmtId="164" fontId="12" fillId="0" borderId="14" xfId="1" applyFont="1" applyFill="1" applyBorder="1" applyAlignment="1">
      <alignment horizontal="left"/>
    </xf>
    <xf numFmtId="164" fontId="12" fillId="0" borderId="19" xfId="1" applyFont="1" applyFill="1" applyBorder="1" applyAlignment="1">
      <alignment horizontal="left"/>
    </xf>
    <xf numFmtId="0" fontId="8" fillId="0" borderId="0" xfId="0" applyFont="1"/>
    <xf numFmtId="0" fontId="8" fillId="0" borderId="9" xfId="0" applyFont="1" applyBorder="1"/>
    <xf numFmtId="0" fontId="9" fillId="0" borderId="0" xfId="0" applyFont="1"/>
    <xf numFmtId="0" fontId="17" fillId="0" borderId="0" xfId="0" applyFont="1"/>
    <xf numFmtId="0" fontId="15" fillId="0" borderId="0" xfId="0" applyFont="1"/>
    <xf numFmtId="0" fontId="15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164" fontId="12" fillId="0" borderId="0" xfId="1" applyFont="1" applyFill="1" applyAlignment="1">
      <alignment horizontal="left"/>
    </xf>
    <xf numFmtId="164" fontId="9" fillId="0" borderId="0" xfId="1" applyFont="1" applyFill="1"/>
    <xf numFmtId="164" fontId="12" fillId="0" borderId="0" xfId="1" applyFont="1" applyFill="1" applyAlignment="1"/>
    <xf numFmtId="0" fontId="16" fillId="0" borderId="0" xfId="0" applyFont="1"/>
    <xf numFmtId="0" fontId="5" fillId="0" borderId="0" xfId="0" applyFont="1" applyAlignment="1">
      <alignment horizontal="center"/>
    </xf>
    <xf numFmtId="0" fontId="12" fillId="0" borderId="0" xfId="0" applyFont="1" applyAlignment="1">
      <alignment wrapText="1"/>
    </xf>
    <xf numFmtId="164" fontId="5" fillId="0" borderId="0" xfId="1" applyFont="1" applyFill="1" applyBorder="1" applyAlignment="1">
      <alignment horizontal="left"/>
    </xf>
    <xf numFmtId="0" fontId="13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164" fontId="12" fillId="0" borderId="0" xfId="1" applyFont="1" applyFill="1"/>
    <xf numFmtId="164" fontId="16" fillId="0" borderId="0" xfId="0" applyNumberFormat="1" applyFont="1"/>
    <xf numFmtId="0" fontId="7" fillId="0" borderId="0" xfId="0" applyFont="1" applyAlignment="1">
      <alignment horizontal="center"/>
    </xf>
    <xf numFmtId="0" fontId="11" fillId="0" borderId="0" xfId="0" applyFont="1"/>
    <xf numFmtId="0" fontId="7" fillId="0" borderId="0" xfId="0" applyFont="1" applyAlignment="1">
      <alignment wrapText="1"/>
    </xf>
    <xf numFmtId="164" fontId="11" fillId="0" borderId="0" xfId="1" applyFont="1" applyFill="1"/>
    <xf numFmtId="0" fontId="7" fillId="0" borderId="0" xfId="0" applyFont="1"/>
    <xf numFmtId="164" fontId="7" fillId="0" borderId="0" xfId="1" applyFont="1" applyFill="1" applyBorder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wrapText="1"/>
    </xf>
    <xf numFmtId="164" fontId="1" fillId="0" borderId="0" xfId="1" applyFont="1" applyFill="1"/>
    <xf numFmtId="164" fontId="9" fillId="0" borderId="0" xfId="1" applyFont="1" applyFill="1" applyBorder="1"/>
    <xf numFmtId="164" fontId="0" fillId="0" borderId="0" xfId="1" applyFont="1" applyFill="1" applyBorder="1"/>
    <xf numFmtId="164" fontId="10" fillId="0" borderId="0" xfId="1" applyFont="1" applyFill="1" applyAlignment="1"/>
    <xf numFmtId="164" fontId="10" fillId="0" borderId="0" xfId="1" applyFont="1" applyFill="1"/>
    <xf numFmtId="164" fontId="10" fillId="0" borderId="0" xfId="1" applyFont="1" applyFill="1" applyAlignment="1">
      <alignment horizontal="left"/>
    </xf>
    <xf numFmtId="164" fontId="17" fillId="0" borderId="0" xfId="1" applyFont="1" applyFill="1"/>
    <xf numFmtId="164" fontId="1" fillId="0" borderId="0" xfId="1" applyFont="1" applyFill="1" applyAlignment="1">
      <alignment horizontal="left"/>
    </xf>
    <xf numFmtId="0" fontId="0" fillId="0" borderId="0" xfId="0" applyAlignment="1">
      <alignment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0" borderId="9" xfId="0" applyFont="1" applyBorder="1" applyAlignment="1">
      <alignment vertical="center" wrapText="1"/>
    </xf>
    <xf numFmtId="164" fontId="7" fillId="0" borderId="0" xfId="0" applyNumberFormat="1" applyFont="1"/>
    <xf numFmtId="165" fontId="5" fillId="0" borderId="9" xfId="0" applyNumberFormat="1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164" fontId="5" fillId="0" borderId="8" xfId="1" applyFont="1" applyFill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 wrapText="1"/>
    </xf>
    <xf numFmtId="164" fontId="5" fillId="0" borderId="9" xfId="1" applyFont="1" applyFill="1" applyBorder="1" applyAlignment="1">
      <alignment horizontal="right" vertical="center" wrapText="1"/>
    </xf>
    <xf numFmtId="4" fontId="5" fillId="0" borderId="10" xfId="0" applyNumberFormat="1" applyFont="1" applyBorder="1" applyAlignment="1">
      <alignment horizontal="right" vertical="center" wrapText="1"/>
    </xf>
    <xf numFmtId="164" fontId="5" fillId="0" borderId="10" xfId="1" applyFont="1" applyFill="1" applyBorder="1" applyAlignment="1">
      <alignment horizontal="right" vertical="center" wrapText="1"/>
    </xf>
    <xf numFmtId="164" fontId="5" fillId="0" borderId="8" xfId="1" applyFont="1" applyFill="1" applyBorder="1" applyAlignment="1">
      <alignment horizontal="right" vertical="center" wrapText="1"/>
    </xf>
    <xf numFmtId="164" fontId="5" fillId="0" borderId="9" xfId="1" applyFont="1" applyFill="1" applyBorder="1" applyAlignment="1">
      <alignment horizontal="right" vertical="center"/>
    </xf>
    <xf numFmtId="164" fontId="5" fillId="0" borderId="10" xfId="1" applyFont="1" applyFill="1" applyBorder="1" applyAlignment="1">
      <alignment horizontal="right" vertical="center"/>
    </xf>
    <xf numFmtId="4" fontId="18" fillId="0" borderId="9" xfId="0" applyNumberFormat="1" applyFont="1" applyBorder="1" applyAlignment="1">
      <alignment horizontal="right" vertical="center" wrapText="1"/>
    </xf>
    <xf numFmtId="164" fontId="9" fillId="0" borderId="9" xfId="1" applyFont="1" applyFill="1" applyBorder="1" applyAlignment="1">
      <alignment horizontal="right" vertical="center"/>
    </xf>
    <xf numFmtId="4" fontId="5" fillId="0" borderId="20" xfId="0" applyNumberFormat="1" applyFont="1" applyBorder="1" applyAlignment="1">
      <alignment horizontal="right" vertical="center" wrapText="1"/>
    </xf>
    <xf numFmtId="164" fontId="9" fillId="0" borderId="20" xfId="1" applyFont="1" applyFill="1" applyBorder="1" applyAlignment="1">
      <alignment horizontal="right" vertical="center"/>
    </xf>
    <xf numFmtId="0" fontId="19" fillId="0" borderId="9" xfId="0" applyFont="1" applyBorder="1"/>
    <xf numFmtId="0" fontId="19" fillId="0" borderId="0" xfId="0" applyFont="1"/>
    <xf numFmtId="0" fontId="20" fillId="0" borderId="0" xfId="0" applyFont="1"/>
    <xf numFmtId="0" fontId="20" fillId="0" borderId="0" xfId="0" applyFont="1" applyAlignment="1">
      <alignment vertical="center"/>
    </xf>
    <xf numFmtId="0" fontId="19" fillId="0" borderId="8" xfId="0" applyFont="1" applyBorder="1"/>
    <xf numFmtId="0" fontId="19" fillId="0" borderId="9" xfId="0" applyFont="1" applyBorder="1" applyAlignment="1">
      <alignment vertical="center"/>
    </xf>
    <xf numFmtId="0" fontId="19" fillId="0" borderId="10" xfId="0" applyFont="1" applyBorder="1"/>
    <xf numFmtId="0" fontId="21" fillId="0" borderId="0" xfId="0" applyFont="1"/>
    <xf numFmtId="0" fontId="20" fillId="0" borderId="9" xfId="0" applyFont="1" applyBorder="1"/>
    <xf numFmtId="0" fontId="22" fillId="2" borderId="0" xfId="0" applyFont="1" applyFill="1"/>
    <xf numFmtId="164" fontId="4" fillId="4" borderId="8" xfId="1" applyFont="1" applyFill="1" applyBorder="1" applyAlignment="1">
      <alignment horizontal="center" vertical="center" wrapText="1" readingOrder="1"/>
    </xf>
    <xf numFmtId="0" fontId="14" fillId="0" borderId="16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164" fontId="4" fillId="4" borderId="24" xfId="1" applyFont="1" applyFill="1" applyBorder="1" applyAlignment="1">
      <alignment horizontal="center" vertical="center" wrapText="1" readingOrder="1"/>
    </xf>
    <xf numFmtId="164" fontId="4" fillId="4" borderId="17" xfId="1" applyFont="1" applyFill="1" applyBorder="1" applyAlignment="1">
      <alignment horizontal="center" vertical="center" wrapText="1" readingOrder="1"/>
    </xf>
    <xf numFmtId="164" fontId="4" fillId="4" borderId="19" xfId="1" applyFont="1" applyFill="1" applyBorder="1" applyAlignment="1">
      <alignment horizontal="center" vertical="center" wrapText="1" readingOrder="1"/>
    </xf>
    <xf numFmtId="0" fontId="4" fillId="5" borderId="6" xfId="0" applyFont="1" applyFill="1" applyBorder="1" applyAlignment="1">
      <alignment horizontal="center" wrapText="1"/>
    </xf>
    <xf numFmtId="0" fontId="4" fillId="5" borderId="23" xfId="0" applyFont="1" applyFill="1" applyBorder="1" applyAlignment="1">
      <alignment horizontal="center" wrapText="1"/>
    </xf>
    <xf numFmtId="0" fontId="4" fillId="5" borderId="8" xfId="0" applyFont="1" applyFill="1" applyBorder="1" applyAlignment="1">
      <alignment horizontal="center" vertical="center" wrapText="1" readingOrder="1"/>
    </xf>
    <xf numFmtId="164" fontId="4" fillId="4" borderId="8" xfId="1" applyFont="1" applyFill="1" applyBorder="1" applyAlignment="1">
      <alignment horizontal="center" vertical="center" wrapText="1" readingOrder="1"/>
    </xf>
    <xf numFmtId="164" fontId="4" fillId="4" borderId="7" xfId="1" applyFont="1" applyFill="1" applyBorder="1" applyAlignment="1">
      <alignment horizontal="center" vertical="center" wrapText="1" readingOrder="1"/>
    </xf>
    <xf numFmtId="164" fontId="4" fillId="4" borderId="20" xfId="1" applyFont="1" applyFill="1" applyBorder="1" applyAlignment="1">
      <alignment horizontal="center" vertical="center" wrapText="1" readingOrder="1"/>
    </xf>
    <xf numFmtId="164" fontId="4" fillId="4" borderId="14" xfId="1" applyFont="1" applyFill="1" applyBorder="1" applyAlignment="1">
      <alignment horizontal="center" vertical="center" wrapText="1" readingOrder="1"/>
    </xf>
    <xf numFmtId="0" fontId="4" fillId="5" borderId="26" xfId="0" applyFont="1" applyFill="1" applyBorder="1" applyAlignment="1">
      <alignment horizontal="center" vertical="center" wrapText="1" readingOrder="1"/>
    </xf>
    <xf numFmtId="0" fontId="4" fillId="5" borderId="7" xfId="0" applyFont="1" applyFill="1" applyBorder="1" applyAlignment="1">
      <alignment horizontal="center" vertical="center" wrapText="1" readingOrder="1"/>
    </xf>
    <xf numFmtId="164" fontId="4" fillId="4" borderId="18" xfId="1" applyFont="1" applyFill="1" applyBorder="1" applyAlignment="1">
      <alignment horizontal="center" vertical="center" wrapText="1" readingOrder="1"/>
    </xf>
    <xf numFmtId="0" fontId="4" fillId="5" borderId="2" xfId="0" applyFont="1" applyFill="1" applyBorder="1" applyAlignment="1">
      <alignment horizontal="center" wrapText="1"/>
    </xf>
    <xf numFmtId="0" fontId="4" fillId="5" borderId="5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244475</xdr:colOff>
      <xdr:row>0</xdr:row>
      <xdr:rowOff>105834</xdr:rowOff>
    </xdr:from>
    <xdr:to>
      <xdr:col>1</xdr:col>
      <xdr:colOff>861219</xdr:colOff>
      <xdr:row>3</xdr:row>
      <xdr:rowOff>458259</xdr:rowOff>
    </xdr:to>
    <xdr:pic>
      <xdr:nvPicPr>
        <xdr:cNvPr id="2" name="2 Imagen" descr="Logo fondo blanco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244475" y="105834"/>
          <a:ext cx="1194858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33"/>
  <sheetViews>
    <sheetView tabSelected="1" view="pageBreakPreview" zoomScale="80" zoomScaleNormal="80" zoomScaleSheetLayoutView="80" workbookViewId="0">
      <pane ySplit="7" topLeftCell="A8" activePane="bottomLeft" state="frozen"/>
      <selection pane="bottomLeft" activeCell="X6" sqref="X6:X7"/>
    </sheetView>
  </sheetViews>
  <sheetFormatPr baseColWidth="10" defaultColWidth="11.42578125" defaultRowHeight="15"/>
  <cols>
    <col min="1" max="1" width="8.5703125" bestFit="1" customWidth="1"/>
    <col min="2" max="2" width="29.140625" style="88" customWidth="1"/>
    <col min="3" max="3" width="9.42578125" style="1" customWidth="1"/>
    <col min="4" max="4" width="21.140625" customWidth="1"/>
    <col min="5" max="5" width="21.28515625" style="2" customWidth="1"/>
    <col min="6" max="6" width="19.85546875" style="2" customWidth="1"/>
    <col min="7" max="7" width="16.42578125" style="11" customWidth="1"/>
    <col min="8" max="8" width="16.5703125" customWidth="1"/>
    <col min="9" max="10" width="14.140625" style="5" customWidth="1"/>
    <col min="11" max="11" width="12.85546875" style="5" customWidth="1"/>
    <col min="12" max="13" width="14.140625" style="5" customWidth="1"/>
    <col min="14" max="14" width="16.5703125" style="5" customWidth="1"/>
    <col min="15" max="15" width="16" style="11" customWidth="1"/>
    <col min="16" max="16" width="19.140625" style="11" hidden="1" customWidth="1"/>
    <col min="17" max="17" width="16.42578125" style="4" hidden="1" customWidth="1"/>
    <col min="18" max="19" width="12.28515625" style="5" hidden="1" customWidth="1"/>
    <col min="20" max="20" width="15.28515625" style="5" hidden="1" customWidth="1"/>
    <col min="21" max="21" width="14" style="11" hidden="1" customWidth="1"/>
    <col min="22" max="22" width="15" style="17" bestFit="1" customWidth="1"/>
    <col min="23" max="23" width="16.28515625" style="11" customWidth="1"/>
    <col min="24" max="24" width="14.28515625" style="13" bestFit="1" customWidth="1"/>
    <col min="25" max="25" width="16.140625" style="11" customWidth="1"/>
    <col min="26" max="26" width="17.5703125" style="11" bestFit="1" customWidth="1"/>
  </cols>
  <sheetData>
    <row r="1" spans="1:26">
      <c r="G1" s="3"/>
      <c r="I1" s="3"/>
      <c r="J1" s="3"/>
      <c r="L1" s="3"/>
      <c r="M1" s="3"/>
      <c r="N1" s="3"/>
      <c r="O1" s="3"/>
      <c r="P1" s="3"/>
      <c r="R1" s="3"/>
      <c r="S1" s="3"/>
      <c r="U1" s="3"/>
      <c r="W1" s="3"/>
      <c r="X1" s="3"/>
      <c r="Y1" s="3"/>
      <c r="Z1" s="3"/>
    </row>
    <row r="2" spans="1:26">
      <c r="G2" s="3"/>
      <c r="I2" s="3"/>
      <c r="J2" s="3"/>
      <c r="L2" s="3"/>
      <c r="M2" s="3"/>
      <c r="N2" s="3"/>
      <c r="O2" s="3"/>
      <c r="P2" s="3"/>
      <c r="R2" s="3"/>
      <c r="S2" s="3"/>
      <c r="U2" s="3"/>
      <c r="W2" s="3"/>
      <c r="X2" s="3"/>
      <c r="Y2" s="3"/>
      <c r="Z2" s="3"/>
    </row>
    <row r="3" spans="1:26">
      <c r="G3" s="3"/>
      <c r="I3" s="3"/>
      <c r="J3" s="6"/>
      <c r="L3" s="3"/>
      <c r="M3" s="3"/>
      <c r="N3" s="3"/>
      <c r="O3" s="3"/>
      <c r="P3" s="3"/>
      <c r="R3" s="3"/>
      <c r="S3" s="3"/>
      <c r="U3" s="3"/>
      <c r="W3" s="3"/>
      <c r="X3" s="3"/>
      <c r="Y3" s="3"/>
      <c r="Z3" s="3"/>
    </row>
    <row r="4" spans="1:26" ht="42.75" customHeight="1" thickBot="1">
      <c r="A4" s="134" t="s">
        <v>215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</row>
    <row r="5" spans="1:26" s="18" customFormat="1" ht="16.5" thickBot="1">
      <c r="A5" s="41" t="s">
        <v>0</v>
      </c>
      <c r="B5" s="89" t="s">
        <v>0</v>
      </c>
      <c r="C5" s="148" t="s">
        <v>1</v>
      </c>
      <c r="D5" s="19" t="s">
        <v>0</v>
      </c>
      <c r="E5" s="20" t="s">
        <v>0</v>
      </c>
      <c r="F5" s="20"/>
      <c r="G5" s="21" t="s">
        <v>0</v>
      </c>
      <c r="H5" s="22"/>
      <c r="I5" s="135" t="s">
        <v>2</v>
      </c>
      <c r="J5" s="136"/>
      <c r="K5" s="136"/>
      <c r="L5" s="136"/>
      <c r="M5" s="136"/>
      <c r="N5" s="136"/>
      <c r="O5" s="23"/>
      <c r="P5" s="135" t="s">
        <v>3</v>
      </c>
      <c r="Q5" s="136"/>
      <c r="R5" s="136"/>
      <c r="S5" s="136"/>
      <c r="T5" s="136"/>
      <c r="U5" s="136"/>
      <c r="V5" s="136"/>
      <c r="W5" s="147"/>
      <c r="X5" s="137" t="s">
        <v>4</v>
      </c>
      <c r="Y5" s="137"/>
      <c r="Z5" s="24"/>
    </row>
    <row r="6" spans="1:26" s="18" customFormat="1" ht="84.75" customHeight="1">
      <c r="A6" s="42" t="s">
        <v>5</v>
      </c>
      <c r="B6" s="90" t="s">
        <v>6</v>
      </c>
      <c r="C6" s="149"/>
      <c r="D6" s="25" t="s">
        <v>7</v>
      </c>
      <c r="E6" s="25" t="s">
        <v>8</v>
      </c>
      <c r="F6" s="25" t="s">
        <v>9</v>
      </c>
      <c r="G6" s="26" t="s">
        <v>10</v>
      </c>
      <c r="H6" s="27" t="s">
        <v>11</v>
      </c>
      <c r="I6" s="138" t="s">
        <v>12</v>
      </c>
      <c r="J6" s="139"/>
      <c r="K6" s="145" t="s">
        <v>13</v>
      </c>
      <c r="L6" s="140" t="s">
        <v>14</v>
      </c>
      <c r="M6" s="140"/>
      <c r="N6" s="28" t="s">
        <v>15</v>
      </c>
      <c r="O6" s="28" t="s">
        <v>16</v>
      </c>
      <c r="P6" s="39" t="s">
        <v>17</v>
      </c>
      <c r="Q6" s="39" t="s">
        <v>18</v>
      </c>
      <c r="R6" s="39" t="s">
        <v>19</v>
      </c>
      <c r="S6" s="130"/>
      <c r="T6" s="39" t="s">
        <v>20</v>
      </c>
      <c r="U6" s="39" t="s">
        <v>21</v>
      </c>
      <c r="V6" s="28" t="s">
        <v>22</v>
      </c>
      <c r="W6" s="39" t="s">
        <v>23</v>
      </c>
      <c r="X6" s="141" t="s">
        <v>24</v>
      </c>
      <c r="Y6" s="143" t="s">
        <v>25</v>
      </c>
      <c r="Z6" s="29" t="s">
        <v>26</v>
      </c>
    </row>
    <row r="7" spans="1:26" s="18" customFormat="1" ht="32.25" thickBot="1">
      <c r="A7" s="43" t="s">
        <v>0</v>
      </c>
      <c r="B7" s="91" t="s">
        <v>0</v>
      </c>
      <c r="C7" s="44"/>
      <c r="D7" s="30" t="s">
        <v>0</v>
      </c>
      <c r="E7" s="31" t="s">
        <v>0</v>
      </c>
      <c r="F7" s="31"/>
      <c r="G7" s="32"/>
      <c r="H7" s="33"/>
      <c r="I7" s="34" t="s">
        <v>27</v>
      </c>
      <c r="J7" s="35" t="s">
        <v>28</v>
      </c>
      <c r="K7" s="146"/>
      <c r="L7" s="33" t="s">
        <v>29</v>
      </c>
      <c r="M7" s="36" t="s">
        <v>30</v>
      </c>
      <c r="N7" s="45">
        <v>1919.78</v>
      </c>
      <c r="O7" s="37" t="s">
        <v>0</v>
      </c>
      <c r="P7" s="37"/>
      <c r="Q7" s="37"/>
      <c r="R7" s="37"/>
      <c r="S7" s="37"/>
      <c r="T7" s="37"/>
      <c r="U7" s="37"/>
      <c r="V7" s="37"/>
      <c r="W7" s="40" t="s">
        <v>0</v>
      </c>
      <c r="X7" s="142"/>
      <c r="Y7" s="144"/>
      <c r="Z7" s="38" t="s">
        <v>0</v>
      </c>
    </row>
    <row r="8" spans="1:26" s="129" customFormat="1" ht="45">
      <c r="A8" s="46">
        <v>1</v>
      </c>
      <c r="B8" s="92" t="s">
        <v>180</v>
      </c>
      <c r="C8" s="92" t="s">
        <v>35</v>
      </c>
      <c r="D8" s="92" t="s">
        <v>181</v>
      </c>
      <c r="E8" s="92" t="s">
        <v>33</v>
      </c>
      <c r="F8" s="48" t="s">
        <v>34</v>
      </c>
      <c r="G8" s="106">
        <v>360000</v>
      </c>
      <c r="H8" s="47">
        <f t="shared" ref="H8:H38" si="0">+G8-(I8+L8+N8)</f>
        <v>339336</v>
      </c>
      <c r="I8" s="47">
        <f t="shared" ref="I8:I38" si="1">IF(G8&lt;=374040,G8*2.87%,9334.68)</f>
        <v>10332</v>
      </c>
      <c r="J8" s="47">
        <f t="shared" ref="J8:J38" si="2">IF(G8&lt;=374040,G8*7.1%,23092.75)</f>
        <v>25559.999999999996</v>
      </c>
      <c r="K8" s="106">
        <f t="shared" ref="K8:K25" si="3">IF(G8&lt;=74808,G8*1.1%,953.69)</f>
        <v>953.69</v>
      </c>
      <c r="L8" s="47">
        <v>10332</v>
      </c>
      <c r="M8" s="47">
        <f>IF(G8&lt;=193525,G8*7.09%,11530.11)</f>
        <v>11530.11</v>
      </c>
      <c r="N8" s="106"/>
      <c r="O8" s="47">
        <f t="shared" ref="O8:O38" si="4">+I8+J8+K8+L8+M8+N8</f>
        <v>58707.8</v>
      </c>
      <c r="P8" s="106">
        <v>25</v>
      </c>
      <c r="Q8" s="107"/>
      <c r="R8" s="106"/>
      <c r="S8" s="106"/>
      <c r="T8" s="108"/>
      <c r="U8" s="109"/>
      <c r="V8" s="47">
        <v>63216.28</v>
      </c>
      <c r="W8" s="47">
        <f t="shared" ref="W8:W38" si="5">P8+Q8+R8+T8+U8+V8</f>
        <v>63241.279999999999</v>
      </c>
      <c r="X8" s="47">
        <f t="shared" ref="X8:X38" si="6">+I8+L8+N8</f>
        <v>20664</v>
      </c>
      <c r="Y8" s="47">
        <f t="shared" ref="Y8:Y23" si="7">+J8+M8</f>
        <v>37090.11</v>
      </c>
      <c r="Z8" s="47">
        <f>+G8-(W8+X8)</f>
        <v>276094.71999999997</v>
      </c>
    </row>
    <row r="9" spans="1:26" s="120" customFormat="1" ht="45" customHeight="1">
      <c r="A9" s="46">
        <f>+A8+1</f>
        <v>2</v>
      </c>
      <c r="B9" s="48" t="s">
        <v>36</v>
      </c>
      <c r="C9" s="48" t="s">
        <v>31</v>
      </c>
      <c r="D9" s="48" t="s">
        <v>37</v>
      </c>
      <c r="E9" s="48" t="s">
        <v>38</v>
      </c>
      <c r="F9" s="48" t="s">
        <v>34</v>
      </c>
      <c r="G9" s="47">
        <v>300000</v>
      </c>
      <c r="H9" s="47">
        <f t="shared" si="0"/>
        <v>282780</v>
      </c>
      <c r="I9" s="47">
        <f t="shared" si="1"/>
        <v>8610</v>
      </c>
      <c r="J9" s="47">
        <f t="shared" si="2"/>
        <v>21299.999999999996</v>
      </c>
      <c r="K9" s="106">
        <f t="shared" si="3"/>
        <v>953.69</v>
      </c>
      <c r="L9" s="47">
        <v>8610</v>
      </c>
      <c r="M9" s="47">
        <f>IF(G9&lt;=193525,G9*7.09%,11530.11)</f>
        <v>11530.11</v>
      </c>
      <c r="N9" s="47"/>
      <c r="O9" s="47">
        <f t="shared" si="4"/>
        <v>51003.799999999996</v>
      </c>
      <c r="P9" s="47">
        <v>25</v>
      </c>
      <c r="Q9" s="110"/>
      <c r="R9" s="47"/>
      <c r="S9" s="47"/>
      <c r="T9" s="47">
        <v>1328.8</v>
      </c>
      <c r="U9" s="47"/>
      <c r="V9" s="47">
        <v>59665.42</v>
      </c>
      <c r="W9" s="47">
        <f t="shared" si="5"/>
        <v>61019.22</v>
      </c>
      <c r="X9" s="47">
        <f t="shared" si="6"/>
        <v>17220</v>
      </c>
      <c r="Y9" s="47">
        <f t="shared" si="7"/>
        <v>32830.11</v>
      </c>
      <c r="Z9" s="47">
        <f>+G9-(W9+X9)</f>
        <v>221760.78</v>
      </c>
    </row>
    <row r="10" spans="1:26" s="120" customFormat="1" ht="45" customHeight="1">
      <c r="A10" s="46">
        <f t="shared" ref="A10:A73" si="8">+A9+1</f>
        <v>3</v>
      </c>
      <c r="B10" s="48" t="s">
        <v>204</v>
      </c>
      <c r="C10" s="48" t="s">
        <v>35</v>
      </c>
      <c r="D10" s="48" t="s">
        <v>181</v>
      </c>
      <c r="E10" s="48" t="s">
        <v>205</v>
      </c>
      <c r="F10" s="48" t="s">
        <v>34</v>
      </c>
      <c r="G10" s="47">
        <v>300000</v>
      </c>
      <c r="H10" s="47">
        <f t="shared" ref="H10" si="9">+G10-(I10+L10+N10)</f>
        <v>282780</v>
      </c>
      <c r="I10" s="47">
        <f t="shared" ref="I10" si="10">IF(G10&lt;=374040,G10*2.87%,9334.68)</f>
        <v>8610</v>
      </c>
      <c r="J10" s="47">
        <f t="shared" ref="J10" si="11">IF(G10&lt;=374040,G10*7.1%,23092.75)</f>
        <v>21299.999999999996</v>
      </c>
      <c r="K10" s="106">
        <f t="shared" ref="K10" si="12">IF(G10&lt;=74808,G10*1.1%,953.69)</f>
        <v>953.69</v>
      </c>
      <c r="L10" s="47">
        <v>8610</v>
      </c>
      <c r="M10" s="47">
        <f t="shared" ref="M10:M73" si="13">IF(G10&lt;=193525,G10*7.09%,11530.11)</f>
        <v>11530.11</v>
      </c>
      <c r="N10" s="47"/>
      <c r="O10" s="47">
        <f t="shared" ref="O10" si="14">+I10+J10+K10+L10+M10+N10</f>
        <v>51003.799999999996</v>
      </c>
      <c r="P10" s="47">
        <v>25</v>
      </c>
      <c r="Q10" s="110"/>
      <c r="R10" s="47"/>
      <c r="S10" s="47"/>
      <c r="T10" s="47">
        <v>0</v>
      </c>
      <c r="U10" s="47"/>
      <c r="V10" s="47">
        <v>59665.42</v>
      </c>
      <c r="W10" s="47">
        <f t="shared" si="5"/>
        <v>59690.42</v>
      </c>
      <c r="X10" s="47">
        <f t="shared" si="6"/>
        <v>17220</v>
      </c>
      <c r="Y10" s="47">
        <f t="shared" si="7"/>
        <v>32830.11</v>
      </c>
      <c r="Z10" s="47">
        <f>+G10-(W10+X10)</f>
        <v>223089.58000000002</v>
      </c>
    </row>
    <row r="11" spans="1:26" s="120" customFormat="1" ht="45">
      <c r="A11" s="46">
        <f t="shared" si="8"/>
        <v>4</v>
      </c>
      <c r="B11" s="48" t="s">
        <v>39</v>
      </c>
      <c r="C11" s="48" t="s">
        <v>31</v>
      </c>
      <c r="D11" s="48" t="s">
        <v>50</v>
      </c>
      <c r="E11" s="48" t="s">
        <v>211</v>
      </c>
      <c r="F11" s="48" t="s">
        <v>40</v>
      </c>
      <c r="G11" s="47">
        <v>200000</v>
      </c>
      <c r="H11" s="47">
        <f t="shared" si="0"/>
        <v>182760.66</v>
      </c>
      <c r="I11" s="47">
        <f t="shared" si="1"/>
        <v>5740</v>
      </c>
      <c r="J11" s="47">
        <f t="shared" si="2"/>
        <v>14199.999999999998</v>
      </c>
      <c r="K11" s="106">
        <f t="shared" si="3"/>
        <v>953.69</v>
      </c>
      <c r="L11" s="47">
        <v>5740</v>
      </c>
      <c r="M11" s="47">
        <f t="shared" si="13"/>
        <v>11530.11</v>
      </c>
      <c r="N11" s="47">
        <f>+N7*3</f>
        <v>5759.34</v>
      </c>
      <c r="O11" s="47">
        <f t="shared" si="4"/>
        <v>43923.14</v>
      </c>
      <c r="P11" s="47">
        <v>25</v>
      </c>
      <c r="Q11" s="110">
        <v>67877.600000000006</v>
      </c>
      <c r="R11" s="47"/>
      <c r="S11" s="47"/>
      <c r="T11" s="47">
        <v>1328.8</v>
      </c>
      <c r="U11" s="47"/>
      <c r="V11" s="47">
        <v>34188.03</v>
      </c>
      <c r="W11" s="47">
        <f t="shared" si="5"/>
        <v>103419.43000000001</v>
      </c>
      <c r="X11" s="47">
        <f t="shared" si="6"/>
        <v>17239.34</v>
      </c>
      <c r="Y11" s="47">
        <f t="shared" si="7"/>
        <v>25730.11</v>
      </c>
      <c r="Z11" s="47">
        <f>+G11-(W11+X11)+6314.82</f>
        <v>85656.049999999988</v>
      </c>
    </row>
    <row r="12" spans="1:26" s="120" customFormat="1" ht="45">
      <c r="A12" s="46">
        <f t="shared" si="8"/>
        <v>5</v>
      </c>
      <c r="B12" s="48" t="s">
        <v>41</v>
      </c>
      <c r="C12" s="48" t="s">
        <v>35</v>
      </c>
      <c r="D12" s="48" t="s">
        <v>42</v>
      </c>
      <c r="E12" s="48" t="s">
        <v>43</v>
      </c>
      <c r="F12" s="48" t="s">
        <v>40</v>
      </c>
      <c r="G12" s="47">
        <v>200000</v>
      </c>
      <c r="H12" s="47">
        <f t="shared" si="0"/>
        <v>188520</v>
      </c>
      <c r="I12" s="47">
        <f t="shared" si="1"/>
        <v>5740</v>
      </c>
      <c r="J12" s="47">
        <f t="shared" si="2"/>
        <v>14199.999999999998</v>
      </c>
      <c r="K12" s="106">
        <f t="shared" si="3"/>
        <v>953.69</v>
      </c>
      <c r="L12" s="47">
        <v>5740</v>
      </c>
      <c r="M12" s="47">
        <f t="shared" si="13"/>
        <v>11530.11</v>
      </c>
      <c r="N12" s="47"/>
      <c r="O12" s="47">
        <f t="shared" si="4"/>
        <v>38163.800000000003</v>
      </c>
      <c r="P12" s="47">
        <v>25</v>
      </c>
      <c r="Q12" s="110">
        <v>9445.1</v>
      </c>
      <c r="R12" s="47"/>
      <c r="S12" s="47"/>
      <c r="T12" s="47">
        <v>1328.8</v>
      </c>
      <c r="U12" s="47">
        <v>200</v>
      </c>
      <c r="V12" s="47">
        <v>35627.870000000003</v>
      </c>
      <c r="W12" s="47">
        <f t="shared" si="5"/>
        <v>46626.770000000004</v>
      </c>
      <c r="X12" s="47">
        <f t="shared" si="6"/>
        <v>11480</v>
      </c>
      <c r="Y12" s="47">
        <f t="shared" si="7"/>
        <v>25730.11</v>
      </c>
      <c r="Z12" s="47">
        <f t="shared" ref="Z12:Z42" si="15">+G12-(W12+X12)</f>
        <v>141893.22999999998</v>
      </c>
    </row>
    <row r="13" spans="1:26" s="120" customFormat="1" ht="30">
      <c r="A13" s="46">
        <f t="shared" si="8"/>
        <v>6</v>
      </c>
      <c r="B13" s="48" t="s">
        <v>44</v>
      </c>
      <c r="C13" s="48" t="s">
        <v>35</v>
      </c>
      <c r="D13" s="48" t="s">
        <v>203</v>
      </c>
      <c r="E13" s="48" t="s">
        <v>45</v>
      </c>
      <c r="F13" s="48" t="s">
        <v>40</v>
      </c>
      <c r="G13" s="47">
        <v>200000</v>
      </c>
      <c r="H13" s="47">
        <f t="shared" si="0"/>
        <v>188520</v>
      </c>
      <c r="I13" s="47">
        <f t="shared" si="1"/>
        <v>5740</v>
      </c>
      <c r="J13" s="47">
        <f t="shared" si="2"/>
        <v>14199.999999999998</v>
      </c>
      <c r="K13" s="106">
        <f t="shared" si="3"/>
        <v>953.69</v>
      </c>
      <c r="L13" s="47">
        <v>5740</v>
      </c>
      <c r="M13" s="47">
        <f t="shared" si="13"/>
        <v>11530.11</v>
      </c>
      <c r="N13" s="47"/>
      <c r="O13" s="47">
        <f t="shared" si="4"/>
        <v>38163.800000000003</v>
      </c>
      <c r="P13" s="47">
        <v>25</v>
      </c>
      <c r="Q13" s="110"/>
      <c r="R13" s="47"/>
      <c r="S13" s="47"/>
      <c r="T13" s="47">
        <v>1328.8</v>
      </c>
      <c r="U13" s="47">
        <v>200</v>
      </c>
      <c r="V13" s="47">
        <v>35627.870000000003</v>
      </c>
      <c r="W13" s="47">
        <f t="shared" si="5"/>
        <v>37181.670000000006</v>
      </c>
      <c r="X13" s="47">
        <f t="shared" si="6"/>
        <v>11480</v>
      </c>
      <c r="Y13" s="47">
        <f t="shared" si="7"/>
        <v>25730.11</v>
      </c>
      <c r="Z13" s="47">
        <f t="shared" si="15"/>
        <v>151338.32999999999</v>
      </c>
    </row>
    <row r="14" spans="1:26" s="120" customFormat="1" ht="75">
      <c r="A14" s="46">
        <f t="shared" si="8"/>
        <v>7</v>
      </c>
      <c r="B14" s="48" t="s">
        <v>46</v>
      </c>
      <c r="C14" s="48" t="s">
        <v>31</v>
      </c>
      <c r="D14" s="48" t="s">
        <v>37</v>
      </c>
      <c r="E14" s="48" t="s">
        <v>47</v>
      </c>
      <c r="F14" s="48" t="s">
        <v>40</v>
      </c>
      <c r="G14" s="47">
        <v>200000</v>
      </c>
      <c r="H14" s="47">
        <f t="shared" si="0"/>
        <v>188520</v>
      </c>
      <c r="I14" s="47">
        <f t="shared" si="1"/>
        <v>5740</v>
      </c>
      <c r="J14" s="47">
        <f t="shared" si="2"/>
        <v>14199.999999999998</v>
      </c>
      <c r="K14" s="106">
        <f t="shared" si="3"/>
        <v>953.69</v>
      </c>
      <c r="L14" s="47">
        <v>5740</v>
      </c>
      <c r="M14" s="47">
        <f t="shared" si="13"/>
        <v>11530.11</v>
      </c>
      <c r="N14" s="47"/>
      <c r="O14" s="47">
        <f t="shared" si="4"/>
        <v>38163.800000000003</v>
      </c>
      <c r="P14" s="47">
        <v>25</v>
      </c>
      <c r="Q14" s="110">
        <v>21364.49</v>
      </c>
      <c r="R14" s="47"/>
      <c r="S14" s="47"/>
      <c r="T14" s="47">
        <v>1328.8</v>
      </c>
      <c r="U14" s="47">
        <v>200</v>
      </c>
      <c r="V14" s="47">
        <v>35627.870000000003</v>
      </c>
      <c r="W14" s="47">
        <f t="shared" si="5"/>
        <v>58546.16</v>
      </c>
      <c r="X14" s="47">
        <f t="shared" si="6"/>
        <v>11480</v>
      </c>
      <c r="Y14" s="47">
        <f t="shared" si="7"/>
        <v>25730.11</v>
      </c>
      <c r="Z14" s="47">
        <f t="shared" si="15"/>
        <v>129973.84</v>
      </c>
    </row>
    <row r="15" spans="1:26" s="120" customFormat="1" ht="30">
      <c r="A15" s="46">
        <f t="shared" si="8"/>
        <v>8</v>
      </c>
      <c r="B15" s="48" t="s">
        <v>183</v>
      </c>
      <c r="C15" s="48" t="s">
        <v>35</v>
      </c>
      <c r="D15" s="48" t="s">
        <v>33</v>
      </c>
      <c r="E15" s="48" t="s">
        <v>48</v>
      </c>
      <c r="F15" s="48" t="s">
        <v>49</v>
      </c>
      <c r="G15" s="47">
        <v>155000</v>
      </c>
      <c r="H15" s="47">
        <f t="shared" si="0"/>
        <v>146103</v>
      </c>
      <c r="I15" s="47">
        <f t="shared" si="1"/>
        <v>4448.5</v>
      </c>
      <c r="J15" s="47">
        <f t="shared" si="2"/>
        <v>11004.999999999998</v>
      </c>
      <c r="K15" s="106">
        <f t="shared" si="3"/>
        <v>953.69</v>
      </c>
      <c r="L15" s="47">
        <v>4448.5</v>
      </c>
      <c r="M15" s="47">
        <f t="shared" si="13"/>
        <v>10989.5</v>
      </c>
      <c r="N15" s="47"/>
      <c r="O15" s="47">
        <f t="shared" si="4"/>
        <v>31845.19</v>
      </c>
      <c r="P15" s="47">
        <v>25</v>
      </c>
      <c r="Q15" s="110"/>
      <c r="R15" s="47"/>
      <c r="S15" s="47"/>
      <c r="T15" s="47">
        <v>1201.8399999999999</v>
      </c>
      <c r="U15" s="47">
        <v>200</v>
      </c>
      <c r="V15" s="47">
        <v>0</v>
      </c>
      <c r="W15" s="47">
        <f t="shared" si="5"/>
        <v>1426.84</v>
      </c>
      <c r="X15" s="47">
        <f t="shared" si="6"/>
        <v>8897</v>
      </c>
      <c r="Y15" s="47">
        <f t="shared" si="7"/>
        <v>21994.5</v>
      </c>
      <c r="Z15" s="47">
        <f t="shared" si="15"/>
        <v>144676.16</v>
      </c>
    </row>
    <row r="16" spans="1:26" s="120" customFormat="1" ht="75">
      <c r="A16" s="46">
        <f t="shared" si="8"/>
        <v>9</v>
      </c>
      <c r="B16" s="48" t="s">
        <v>51</v>
      </c>
      <c r="C16" s="48" t="s">
        <v>35</v>
      </c>
      <c r="D16" s="48" t="s">
        <v>52</v>
      </c>
      <c r="E16" s="48" t="s">
        <v>53</v>
      </c>
      <c r="F16" s="48" t="s">
        <v>54</v>
      </c>
      <c r="G16" s="47">
        <v>140000</v>
      </c>
      <c r="H16" s="47">
        <f t="shared" si="0"/>
        <v>130044.22</v>
      </c>
      <c r="I16" s="47">
        <f t="shared" si="1"/>
        <v>4018</v>
      </c>
      <c r="J16" s="47">
        <f t="shared" si="2"/>
        <v>9940</v>
      </c>
      <c r="K16" s="106">
        <f t="shared" si="3"/>
        <v>953.69</v>
      </c>
      <c r="L16" s="47">
        <v>4018</v>
      </c>
      <c r="M16" s="47">
        <f t="shared" si="13"/>
        <v>9926</v>
      </c>
      <c r="N16" s="47">
        <f>+N7</f>
        <v>1919.78</v>
      </c>
      <c r="O16" s="47">
        <f t="shared" si="4"/>
        <v>30775.47</v>
      </c>
      <c r="P16" s="47">
        <v>25</v>
      </c>
      <c r="Q16" s="110">
        <v>1000</v>
      </c>
      <c r="R16" s="47"/>
      <c r="S16" s="47"/>
      <c r="T16" s="47">
        <v>998.54</v>
      </c>
      <c r="U16" s="47">
        <v>200</v>
      </c>
      <c r="V16" s="47">
        <v>16054.27</v>
      </c>
      <c r="W16" s="47">
        <f t="shared" si="5"/>
        <v>18277.810000000001</v>
      </c>
      <c r="X16" s="47">
        <f t="shared" si="6"/>
        <v>9955.7800000000007</v>
      </c>
      <c r="Y16" s="47">
        <f t="shared" si="7"/>
        <v>19866</v>
      </c>
      <c r="Z16" s="47">
        <f t="shared" si="15"/>
        <v>111766.41</v>
      </c>
    </row>
    <row r="17" spans="1:26" s="120" customFormat="1" ht="75">
      <c r="A17" s="46">
        <f t="shared" si="8"/>
        <v>10</v>
      </c>
      <c r="B17" s="48" t="s">
        <v>55</v>
      </c>
      <c r="C17" s="48" t="s">
        <v>35</v>
      </c>
      <c r="D17" s="48" t="s">
        <v>37</v>
      </c>
      <c r="E17" s="48" t="s">
        <v>56</v>
      </c>
      <c r="F17" s="48" t="s">
        <v>40</v>
      </c>
      <c r="G17" s="47">
        <v>145000</v>
      </c>
      <c r="H17" s="47">
        <f t="shared" si="0"/>
        <v>136677</v>
      </c>
      <c r="I17" s="47">
        <f t="shared" si="1"/>
        <v>4161.5</v>
      </c>
      <c r="J17" s="47">
        <f t="shared" si="2"/>
        <v>10294.999999999998</v>
      </c>
      <c r="K17" s="47">
        <f t="shared" si="3"/>
        <v>953.69</v>
      </c>
      <c r="L17" s="47">
        <v>4161.5</v>
      </c>
      <c r="M17" s="47">
        <f t="shared" si="13"/>
        <v>10280.5</v>
      </c>
      <c r="N17" s="47"/>
      <c r="O17" s="47">
        <f t="shared" si="4"/>
        <v>29852.19</v>
      </c>
      <c r="P17" s="47">
        <v>25</v>
      </c>
      <c r="Q17" s="110">
        <v>30491.65</v>
      </c>
      <c r="R17" s="47"/>
      <c r="S17" s="47"/>
      <c r="T17" s="47">
        <v>0</v>
      </c>
      <c r="U17" s="47">
        <v>200</v>
      </c>
      <c r="V17" s="47">
        <v>22690.49</v>
      </c>
      <c r="W17" s="47">
        <f t="shared" si="5"/>
        <v>53407.14</v>
      </c>
      <c r="X17" s="47">
        <f t="shared" si="6"/>
        <v>8323</v>
      </c>
      <c r="Y17" s="47">
        <f t="shared" si="7"/>
        <v>20575.5</v>
      </c>
      <c r="Z17" s="47">
        <f t="shared" si="15"/>
        <v>83269.86</v>
      </c>
    </row>
    <row r="18" spans="1:26" s="120" customFormat="1" ht="60">
      <c r="A18" s="46">
        <f t="shared" si="8"/>
        <v>11</v>
      </c>
      <c r="B18" s="48" t="s">
        <v>57</v>
      </c>
      <c r="C18" s="48" t="s">
        <v>35</v>
      </c>
      <c r="D18" s="48" t="s">
        <v>58</v>
      </c>
      <c r="E18" s="48" t="s">
        <v>59</v>
      </c>
      <c r="F18" s="48" t="s">
        <v>54</v>
      </c>
      <c r="G18" s="47">
        <v>116000</v>
      </c>
      <c r="H18" s="47">
        <f t="shared" si="0"/>
        <v>107421.82</v>
      </c>
      <c r="I18" s="47">
        <f t="shared" si="1"/>
        <v>3329.2</v>
      </c>
      <c r="J18" s="47">
        <f t="shared" si="2"/>
        <v>8236</v>
      </c>
      <c r="K18" s="106">
        <f t="shared" si="3"/>
        <v>953.69</v>
      </c>
      <c r="L18" s="47">
        <v>3329.2</v>
      </c>
      <c r="M18" s="47">
        <f t="shared" si="13"/>
        <v>8224.4</v>
      </c>
      <c r="N18" s="47">
        <f>+N7*1</f>
        <v>1919.78</v>
      </c>
      <c r="O18" s="47">
        <f t="shared" si="4"/>
        <v>25992.269999999997</v>
      </c>
      <c r="P18" s="47">
        <v>25</v>
      </c>
      <c r="Q18" s="110">
        <v>5000</v>
      </c>
      <c r="R18" s="47"/>
      <c r="S18" s="47"/>
      <c r="T18" s="47">
        <v>797.28</v>
      </c>
      <c r="U18" s="47">
        <v>200</v>
      </c>
      <c r="V18" s="47">
        <v>8116.84</v>
      </c>
      <c r="W18" s="47">
        <f t="shared" si="5"/>
        <v>14139.119999999999</v>
      </c>
      <c r="X18" s="47">
        <f t="shared" si="6"/>
        <v>8578.18</v>
      </c>
      <c r="Y18" s="47">
        <f t="shared" si="7"/>
        <v>16460.400000000001</v>
      </c>
      <c r="Z18" s="47">
        <f t="shared" si="15"/>
        <v>93282.7</v>
      </c>
    </row>
    <row r="19" spans="1:26" s="120" customFormat="1" ht="60">
      <c r="A19" s="46">
        <f t="shared" si="8"/>
        <v>12</v>
      </c>
      <c r="B19" s="48" t="s">
        <v>60</v>
      </c>
      <c r="C19" s="48" t="s">
        <v>31</v>
      </c>
      <c r="D19" s="48" t="s">
        <v>58</v>
      </c>
      <c r="E19" s="48" t="s">
        <v>61</v>
      </c>
      <c r="F19" s="48" t="s">
        <v>40</v>
      </c>
      <c r="G19" s="47">
        <v>60000</v>
      </c>
      <c r="H19" s="47">
        <f t="shared" si="0"/>
        <v>56556</v>
      </c>
      <c r="I19" s="47">
        <f t="shared" si="1"/>
        <v>1722</v>
      </c>
      <c r="J19" s="47">
        <f t="shared" si="2"/>
        <v>4260</v>
      </c>
      <c r="K19" s="106">
        <f t="shared" si="3"/>
        <v>660.00000000000011</v>
      </c>
      <c r="L19" s="47">
        <v>1722</v>
      </c>
      <c r="M19" s="47">
        <f t="shared" si="13"/>
        <v>4254</v>
      </c>
      <c r="N19" s="47"/>
      <c r="O19" s="47">
        <f t="shared" si="4"/>
        <v>12618</v>
      </c>
      <c r="P19" s="47">
        <v>25</v>
      </c>
      <c r="Q19" s="110">
        <v>1916.8</v>
      </c>
      <c r="R19" s="47"/>
      <c r="S19" s="47"/>
      <c r="T19" s="47">
        <v>797.28</v>
      </c>
      <c r="U19" s="47">
        <v>200</v>
      </c>
      <c r="V19" s="47">
        <v>1214.06</v>
      </c>
      <c r="W19" s="47">
        <f t="shared" si="5"/>
        <v>4153.1399999999994</v>
      </c>
      <c r="X19" s="47">
        <f t="shared" si="6"/>
        <v>3444</v>
      </c>
      <c r="Y19" s="47">
        <f t="shared" si="7"/>
        <v>8514</v>
      </c>
      <c r="Z19" s="47">
        <f t="shared" si="15"/>
        <v>52402.86</v>
      </c>
    </row>
    <row r="20" spans="1:26" s="120" customFormat="1" ht="75">
      <c r="A20" s="46">
        <f t="shared" si="8"/>
        <v>13</v>
      </c>
      <c r="B20" s="48" t="s">
        <v>62</v>
      </c>
      <c r="C20" s="48" t="s">
        <v>35</v>
      </c>
      <c r="D20" s="48" t="s">
        <v>63</v>
      </c>
      <c r="E20" s="48" t="s">
        <v>64</v>
      </c>
      <c r="F20" s="48" t="s">
        <v>40</v>
      </c>
      <c r="G20" s="47">
        <v>165000</v>
      </c>
      <c r="H20" s="47">
        <f t="shared" si="0"/>
        <v>155529</v>
      </c>
      <c r="I20" s="47">
        <f t="shared" si="1"/>
        <v>4735.5</v>
      </c>
      <c r="J20" s="47">
        <f t="shared" si="2"/>
        <v>11714.999999999998</v>
      </c>
      <c r="K20" s="106">
        <f t="shared" si="3"/>
        <v>953.69</v>
      </c>
      <c r="L20" s="47">
        <v>4735.5</v>
      </c>
      <c r="M20" s="47">
        <f t="shared" si="13"/>
        <v>11698.5</v>
      </c>
      <c r="N20" s="47"/>
      <c r="O20" s="47">
        <f t="shared" si="4"/>
        <v>33838.19</v>
      </c>
      <c r="P20" s="47">
        <v>25</v>
      </c>
      <c r="Q20" s="110"/>
      <c r="R20" s="47"/>
      <c r="S20" s="47"/>
      <c r="T20" s="47">
        <v>1465.96</v>
      </c>
      <c r="U20" s="47">
        <v>200</v>
      </c>
      <c r="V20" s="47">
        <v>27394.99</v>
      </c>
      <c r="W20" s="47">
        <f t="shared" si="5"/>
        <v>29085.95</v>
      </c>
      <c r="X20" s="47">
        <f t="shared" si="6"/>
        <v>9471</v>
      </c>
      <c r="Y20" s="47">
        <f t="shared" si="7"/>
        <v>23413.5</v>
      </c>
      <c r="Z20" s="47">
        <f t="shared" si="15"/>
        <v>126443.05</v>
      </c>
    </row>
    <row r="21" spans="1:26" s="120" customFormat="1" ht="75">
      <c r="A21" s="46">
        <f t="shared" si="8"/>
        <v>14</v>
      </c>
      <c r="B21" s="48" t="s">
        <v>195</v>
      </c>
      <c r="C21" s="48" t="s">
        <v>35</v>
      </c>
      <c r="D21" s="48" t="s">
        <v>196</v>
      </c>
      <c r="E21" s="48" t="s">
        <v>197</v>
      </c>
      <c r="F21" s="48" t="s">
        <v>40</v>
      </c>
      <c r="G21" s="47">
        <v>130000</v>
      </c>
      <c r="H21" s="47">
        <f t="shared" si="0"/>
        <v>122538</v>
      </c>
      <c r="I21" s="47">
        <f t="shared" si="1"/>
        <v>3731</v>
      </c>
      <c r="J21" s="47">
        <f t="shared" si="2"/>
        <v>9230</v>
      </c>
      <c r="K21" s="106">
        <f t="shared" si="3"/>
        <v>953.69</v>
      </c>
      <c r="L21" s="47">
        <v>3731</v>
      </c>
      <c r="M21" s="47">
        <f t="shared" si="13"/>
        <v>9217</v>
      </c>
      <c r="N21" s="47"/>
      <c r="O21" s="47">
        <f t="shared" si="4"/>
        <v>26862.690000000002</v>
      </c>
      <c r="P21" s="47">
        <v>25</v>
      </c>
      <c r="Q21" s="110"/>
      <c r="R21" s="47"/>
      <c r="S21" s="47"/>
      <c r="T21" s="47">
        <v>1328.8</v>
      </c>
      <c r="U21" s="47">
        <v>200</v>
      </c>
      <c r="V21" s="47">
        <v>15490.09</v>
      </c>
      <c r="W21" s="47">
        <f t="shared" si="5"/>
        <v>17043.89</v>
      </c>
      <c r="X21" s="47">
        <f t="shared" si="6"/>
        <v>7462</v>
      </c>
      <c r="Y21" s="47">
        <f t="shared" si="7"/>
        <v>18447</v>
      </c>
      <c r="Z21" s="47">
        <f t="shared" si="15"/>
        <v>105494.11</v>
      </c>
    </row>
    <row r="22" spans="1:26" s="120" customFormat="1" ht="30" customHeight="1">
      <c r="A22" s="46">
        <f t="shared" si="8"/>
        <v>15</v>
      </c>
      <c r="B22" s="48" t="s">
        <v>65</v>
      </c>
      <c r="C22" s="48" t="s">
        <v>35</v>
      </c>
      <c r="D22" s="48" t="s">
        <v>66</v>
      </c>
      <c r="E22" s="48" t="s">
        <v>67</v>
      </c>
      <c r="F22" s="48" t="s">
        <v>40</v>
      </c>
      <c r="G22" s="47">
        <v>80000</v>
      </c>
      <c r="H22" s="47">
        <f t="shared" si="0"/>
        <v>75408</v>
      </c>
      <c r="I22" s="47">
        <f t="shared" si="1"/>
        <v>2296</v>
      </c>
      <c r="J22" s="47">
        <f t="shared" si="2"/>
        <v>5679.9999999999991</v>
      </c>
      <c r="K22" s="106">
        <f t="shared" si="3"/>
        <v>953.69</v>
      </c>
      <c r="L22" s="47">
        <v>2296</v>
      </c>
      <c r="M22" s="47">
        <f t="shared" si="13"/>
        <v>5672</v>
      </c>
      <c r="N22" s="47"/>
      <c r="O22" s="47">
        <f t="shared" si="4"/>
        <v>16897.689999999999</v>
      </c>
      <c r="P22" s="47">
        <v>25</v>
      </c>
      <c r="Q22" s="110">
        <v>5400.64</v>
      </c>
      <c r="R22" s="47"/>
      <c r="S22" s="47"/>
      <c r="T22" s="47">
        <v>1120.1400000000001</v>
      </c>
      <c r="U22" s="47">
        <v>200</v>
      </c>
      <c r="V22" s="47">
        <v>7400.87</v>
      </c>
      <c r="W22" s="47">
        <f t="shared" si="5"/>
        <v>14146.650000000001</v>
      </c>
      <c r="X22" s="47">
        <f t="shared" si="6"/>
        <v>4592</v>
      </c>
      <c r="Y22" s="47">
        <f t="shared" si="7"/>
        <v>11352</v>
      </c>
      <c r="Z22" s="47">
        <f t="shared" si="15"/>
        <v>61261.35</v>
      </c>
    </row>
    <row r="23" spans="1:26" s="120" customFormat="1" ht="30">
      <c r="A23" s="46">
        <f t="shared" si="8"/>
        <v>16</v>
      </c>
      <c r="B23" s="48" t="s">
        <v>68</v>
      </c>
      <c r="C23" s="48" t="s">
        <v>35</v>
      </c>
      <c r="D23" s="48" t="s">
        <v>66</v>
      </c>
      <c r="E23" s="48" t="s">
        <v>69</v>
      </c>
      <c r="F23" s="48" t="s">
        <v>40</v>
      </c>
      <c r="G23" s="47">
        <v>95000</v>
      </c>
      <c r="H23" s="47">
        <f t="shared" si="0"/>
        <v>83787.66</v>
      </c>
      <c r="I23" s="47">
        <f t="shared" si="1"/>
        <v>2726.5</v>
      </c>
      <c r="J23" s="47">
        <f t="shared" si="2"/>
        <v>6744.9999999999991</v>
      </c>
      <c r="K23" s="106">
        <f t="shared" si="3"/>
        <v>953.69</v>
      </c>
      <c r="L23" s="47">
        <v>2726.5</v>
      </c>
      <c r="M23" s="47">
        <f t="shared" si="13"/>
        <v>6735.5</v>
      </c>
      <c r="N23" s="47">
        <f>+N7*3</f>
        <v>5759.34</v>
      </c>
      <c r="O23" s="47">
        <f t="shared" si="4"/>
        <v>25646.530000000002</v>
      </c>
      <c r="P23" s="47">
        <v>25</v>
      </c>
      <c r="Q23" s="110">
        <v>1200</v>
      </c>
      <c r="R23" s="47"/>
      <c r="S23" s="47"/>
      <c r="T23" s="47">
        <v>1195.92</v>
      </c>
      <c r="U23" s="47">
        <v>200</v>
      </c>
      <c r="V23" s="47">
        <v>658.3</v>
      </c>
      <c r="W23" s="47">
        <f t="shared" si="5"/>
        <v>3279.2200000000003</v>
      </c>
      <c r="X23" s="47">
        <f t="shared" si="6"/>
        <v>11212.34</v>
      </c>
      <c r="Y23" s="47">
        <f t="shared" si="7"/>
        <v>13480.5</v>
      </c>
      <c r="Z23" s="47">
        <f t="shared" si="15"/>
        <v>80508.44</v>
      </c>
    </row>
    <row r="24" spans="1:26" s="126" customFormat="1" ht="45">
      <c r="A24" s="46">
        <f t="shared" si="8"/>
        <v>17</v>
      </c>
      <c r="B24" s="93" t="s">
        <v>70</v>
      </c>
      <c r="C24" s="93" t="s">
        <v>35</v>
      </c>
      <c r="D24" s="93" t="s">
        <v>42</v>
      </c>
      <c r="E24" s="93" t="s">
        <v>71</v>
      </c>
      <c r="F24" s="93" t="s">
        <v>40</v>
      </c>
      <c r="G24" s="111">
        <v>95000</v>
      </c>
      <c r="H24" s="111">
        <f t="shared" si="0"/>
        <v>81867.88</v>
      </c>
      <c r="I24" s="111">
        <f t="shared" si="1"/>
        <v>2726.5</v>
      </c>
      <c r="J24" s="111">
        <f t="shared" si="2"/>
        <v>6744.9999999999991</v>
      </c>
      <c r="K24" s="106">
        <f t="shared" si="3"/>
        <v>953.69</v>
      </c>
      <c r="L24" s="47">
        <v>2726.5</v>
      </c>
      <c r="M24" s="47">
        <f t="shared" si="13"/>
        <v>6735.5</v>
      </c>
      <c r="N24" s="111">
        <v>7679.12</v>
      </c>
      <c r="O24" s="111">
        <f t="shared" si="4"/>
        <v>27566.31</v>
      </c>
      <c r="P24" s="111">
        <v>25</v>
      </c>
      <c r="Q24" s="112"/>
      <c r="R24" s="111"/>
      <c r="S24" s="111"/>
      <c r="T24" s="111">
        <v>1776.14</v>
      </c>
      <c r="U24" s="111">
        <v>200</v>
      </c>
      <c r="V24" s="47">
        <v>3549.32</v>
      </c>
      <c r="W24" s="111">
        <f t="shared" si="5"/>
        <v>5550.46</v>
      </c>
      <c r="X24" s="111">
        <f t="shared" si="6"/>
        <v>13132.119999999999</v>
      </c>
      <c r="Y24" s="111">
        <f>+J24++K24+M24</f>
        <v>14434.189999999999</v>
      </c>
      <c r="Z24" s="111">
        <f t="shared" si="15"/>
        <v>76317.42</v>
      </c>
    </row>
    <row r="25" spans="1:26" s="120" customFormat="1" ht="60" customHeight="1">
      <c r="A25" s="46">
        <f t="shared" si="8"/>
        <v>18</v>
      </c>
      <c r="B25" s="48" t="s">
        <v>72</v>
      </c>
      <c r="C25" s="48" t="s">
        <v>31</v>
      </c>
      <c r="D25" s="48" t="s">
        <v>73</v>
      </c>
      <c r="E25" s="48" t="s">
        <v>74</v>
      </c>
      <c r="F25" s="48" t="s">
        <v>40</v>
      </c>
      <c r="G25" s="47">
        <v>95000</v>
      </c>
      <c r="H25" s="47">
        <f t="shared" si="0"/>
        <v>89547</v>
      </c>
      <c r="I25" s="47">
        <f t="shared" si="1"/>
        <v>2726.5</v>
      </c>
      <c r="J25" s="47">
        <f t="shared" si="2"/>
        <v>6744.9999999999991</v>
      </c>
      <c r="K25" s="106">
        <f t="shared" si="3"/>
        <v>953.69</v>
      </c>
      <c r="L25" s="47">
        <v>2726.5</v>
      </c>
      <c r="M25" s="47">
        <f t="shared" si="13"/>
        <v>6735.5</v>
      </c>
      <c r="N25" s="47"/>
      <c r="O25" s="47">
        <f t="shared" si="4"/>
        <v>19887.190000000002</v>
      </c>
      <c r="P25" s="47">
        <v>25</v>
      </c>
      <c r="Q25" s="110">
        <v>1000</v>
      </c>
      <c r="R25" s="47"/>
      <c r="S25" s="47"/>
      <c r="T25" s="47">
        <v>2657.6</v>
      </c>
      <c r="U25" s="47">
        <v>200</v>
      </c>
      <c r="V25" s="47">
        <v>10929.24</v>
      </c>
      <c r="W25" s="47">
        <f t="shared" si="5"/>
        <v>14811.84</v>
      </c>
      <c r="X25" s="47">
        <f t="shared" si="6"/>
        <v>5453</v>
      </c>
      <c r="Y25" s="47">
        <f t="shared" ref="Y25:Y55" si="16">+J25+M25</f>
        <v>13480.5</v>
      </c>
      <c r="Z25" s="47">
        <f t="shared" si="15"/>
        <v>74735.16</v>
      </c>
    </row>
    <row r="26" spans="1:26" s="124" customFormat="1" ht="30">
      <c r="A26" s="46">
        <f t="shared" si="8"/>
        <v>19</v>
      </c>
      <c r="B26" s="92" t="s">
        <v>75</v>
      </c>
      <c r="C26" s="92" t="s">
        <v>35</v>
      </c>
      <c r="D26" s="92" t="s">
        <v>66</v>
      </c>
      <c r="E26" s="92" t="s">
        <v>76</v>
      </c>
      <c r="F26" s="92" t="s">
        <v>40</v>
      </c>
      <c r="G26" s="106">
        <v>90000</v>
      </c>
      <c r="H26" s="106">
        <f t="shared" si="0"/>
        <v>82914.22</v>
      </c>
      <c r="I26" s="106">
        <f t="shared" si="1"/>
        <v>2583</v>
      </c>
      <c r="J26" s="106">
        <f t="shared" si="2"/>
        <v>6389.9999999999991</v>
      </c>
      <c r="K26" s="106">
        <f t="shared" ref="K26:K40" si="17">IF(G26&lt;=74808,G26*1.1%,953.69)</f>
        <v>953.69</v>
      </c>
      <c r="L26" s="106">
        <v>2583</v>
      </c>
      <c r="M26" s="47">
        <f t="shared" si="13"/>
        <v>6381</v>
      </c>
      <c r="N26" s="106">
        <v>1919.78</v>
      </c>
      <c r="O26" s="106">
        <f t="shared" si="4"/>
        <v>20810.47</v>
      </c>
      <c r="P26" s="106">
        <v>25</v>
      </c>
      <c r="Q26" s="113">
        <v>2000</v>
      </c>
      <c r="R26" s="106"/>
      <c r="S26" s="106"/>
      <c r="T26" s="106">
        <v>1733.64</v>
      </c>
      <c r="U26" s="106">
        <v>200</v>
      </c>
      <c r="V26" s="106">
        <v>9273.07</v>
      </c>
      <c r="W26" s="106">
        <f t="shared" si="5"/>
        <v>13231.71</v>
      </c>
      <c r="X26" s="106">
        <f t="shared" si="6"/>
        <v>7085.78</v>
      </c>
      <c r="Y26" s="106">
        <f t="shared" si="16"/>
        <v>12771</v>
      </c>
      <c r="Z26" s="106">
        <f t="shared" si="15"/>
        <v>69682.510000000009</v>
      </c>
    </row>
    <row r="27" spans="1:26" s="120" customFormat="1" ht="90">
      <c r="A27" s="46">
        <f t="shared" si="8"/>
        <v>20</v>
      </c>
      <c r="B27" s="48" t="s">
        <v>77</v>
      </c>
      <c r="C27" s="48" t="s">
        <v>31</v>
      </c>
      <c r="D27" s="48" t="s">
        <v>37</v>
      </c>
      <c r="E27" s="48" t="s">
        <v>78</v>
      </c>
      <c r="F27" s="48" t="s">
        <v>54</v>
      </c>
      <c r="G27" s="47">
        <v>95000</v>
      </c>
      <c r="H27" s="47">
        <f t="shared" si="0"/>
        <v>85707.44</v>
      </c>
      <c r="I27" s="47">
        <f t="shared" si="1"/>
        <v>2726.5</v>
      </c>
      <c r="J27" s="47">
        <f t="shared" si="2"/>
        <v>6744.9999999999991</v>
      </c>
      <c r="K27" s="106">
        <f t="shared" si="17"/>
        <v>953.69</v>
      </c>
      <c r="L27" s="47">
        <v>2726.5</v>
      </c>
      <c r="M27" s="47">
        <f t="shared" si="13"/>
        <v>6735.5</v>
      </c>
      <c r="N27" s="47">
        <f>+N7*2</f>
        <v>3839.56</v>
      </c>
      <c r="O27" s="47">
        <f t="shared" si="4"/>
        <v>23726.750000000004</v>
      </c>
      <c r="P27" s="47">
        <v>25</v>
      </c>
      <c r="Q27" s="110"/>
      <c r="R27" s="47"/>
      <c r="S27" s="47"/>
      <c r="T27" s="47">
        <v>2272.91</v>
      </c>
      <c r="U27" s="47"/>
      <c r="V27" s="47">
        <v>5397.78</v>
      </c>
      <c r="W27" s="47">
        <f t="shared" si="5"/>
        <v>7695.69</v>
      </c>
      <c r="X27" s="47">
        <f t="shared" si="6"/>
        <v>9292.56</v>
      </c>
      <c r="Y27" s="47">
        <f t="shared" si="16"/>
        <v>13480.5</v>
      </c>
      <c r="Z27" s="47">
        <f t="shared" si="15"/>
        <v>78011.75</v>
      </c>
    </row>
    <row r="28" spans="1:26" s="124" customFormat="1" ht="90">
      <c r="A28" s="46">
        <f t="shared" si="8"/>
        <v>21</v>
      </c>
      <c r="B28" s="92" t="s">
        <v>79</v>
      </c>
      <c r="C28" s="92" t="s">
        <v>35</v>
      </c>
      <c r="D28" s="92" t="s">
        <v>37</v>
      </c>
      <c r="E28" s="92" t="s">
        <v>80</v>
      </c>
      <c r="F28" s="92" t="s">
        <v>40</v>
      </c>
      <c r="G28" s="106">
        <v>95000</v>
      </c>
      <c r="H28" s="106">
        <f t="shared" si="0"/>
        <v>85707.44</v>
      </c>
      <c r="I28" s="106">
        <f t="shared" si="1"/>
        <v>2726.5</v>
      </c>
      <c r="J28" s="106">
        <f t="shared" si="2"/>
        <v>6744.9999999999991</v>
      </c>
      <c r="K28" s="106">
        <f t="shared" si="17"/>
        <v>953.69</v>
      </c>
      <c r="L28" s="47">
        <v>2726.5</v>
      </c>
      <c r="M28" s="47">
        <f t="shared" si="13"/>
        <v>6735.5</v>
      </c>
      <c r="N28" s="106">
        <f>+N7*2</f>
        <v>3839.56</v>
      </c>
      <c r="O28" s="106">
        <f t="shared" si="4"/>
        <v>23726.750000000004</v>
      </c>
      <c r="P28" s="106">
        <v>25</v>
      </c>
      <c r="Q28" s="113"/>
      <c r="R28" s="106"/>
      <c r="S28" s="106"/>
      <c r="T28" s="106"/>
      <c r="U28" s="106">
        <v>200</v>
      </c>
      <c r="V28" s="47">
        <v>9969.35</v>
      </c>
      <c r="W28" s="106">
        <f t="shared" si="5"/>
        <v>10194.35</v>
      </c>
      <c r="X28" s="106">
        <f t="shared" si="6"/>
        <v>9292.56</v>
      </c>
      <c r="Y28" s="106">
        <f t="shared" si="16"/>
        <v>13480.5</v>
      </c>
      <c r="Z28" s="106">
        <f t="shared" si="15"/>
        <v>75513.09</v>
      </c>
    </row>
    <row r="29" spans="1:26" s="125" customFormat="1" ht="82.5" customHeight="1">
      <c r="A29" s="46">
        <f t="shared" si="8"/>
        <v>22</v>
      </c>
      <c r="B29" s="102" t="s">
        <v>81</v>
      </c>
      <c r="C29" s="102" t="s">
        <v>35</v>
      </c>
      <c r="D29" s="102" t="s">
        <v>37</v>
      </c>
      <c r="E29" s="102" t="s">
        <v>82</v>
      </c>
      <c r="F29" s="102" t="s">
        <v>40</v>
      </c>
      <c r="G29" s="47">
        <v>80000</v>
      </c>
      <c r="H29" s="47">
        <f t="shared" si="0"/>
        <v>75408</v>
      </c>
      <c r="I29" s="47">
        <f t="shared" si="1"/>
        <v>2296</v>
      </c>
      <c r="J29" s="47">
        <f t="shared" si="2"/>
        <v>5679.9999999999991</v>
      </c>
      <c r="K29" s="106">
        <f t="shared" si="17"/>
        <v>953.69</v>
      </c>
      <c r="L29" s="47">
        <v>2296</v>
      </c>
      <c r="M29" s="47">
        <f t="shared" si="13"/>
        <v>5672</v>
      </c>
      <c r="N29" s="47"/>
      <c r="O29" s="47">
        <f t="shared" si="4"/>
        <v>16897.689999999999</v>
      </c>
      <c r="P29" s="47">
        <v>25</v>
      </c>
      <c r="Q29" s="110"/>
      <c r="R29" s="47"/>
      <c r="S29" s="47"/>
      <c r="T29" s="47">
        <v>1363.87</v>
      </c>
      <c r="U29" s="106">
        <v>200</v>
      </c>
      <c r="V29" s="47">
        <v>7400.87</v>
      </c>
      <c r="W29" s="47">
        <f t="shared" si="5"/>
        <v>8989.74</v>
      </c>
      <c r="X29" s="47">
        <f t="shared" si="6"/>
        <v>4592</v>
      </c>
      <c r="Y29" s="47">
        <f t="shared" si="16"/>
        <v>11352</v>
      </c>
      <c r="Z29" s="47">
        <f t="shared" si="15"/>
        <v>66418.259999999995</v>
      </c>
    </row>
    <row r="30" spans="1:26" s="120" customFormat="1" ht="57" customHeight="1">
      <c r="A30" s="46">
        <f t="shared" si="8"/>
        <v>23</v>
      </c>
      <c r="B30" s="48" t="s">
        <v>83</v>
      </c>
      <c r="C30" s="48" t="s">
        <v>31</v>
      </c>
      <c r="D30" s="48" t="s">
        <v>37</v>
      </c>
      <c r="E30" s="48" t="s">
        <v>82</v>
      </c>
      <c r="F30" s="48" t="s">
        <v>40</v>
      </c>
      <c r="G30" s="47">
        <v>80000</v>
      </c>
      <c r="H30" s="47">
        <f t="shared" si="0"/>
        <v>75408</v>
      </c>
      <c r="I30" s="47">
        <f t="shared" si="1"/>
        <v>2296</v>
      </c>
      <c r="J30" s="47">
        <f t="shared" si="2"/>
        <v>5679.9999999999991</v>
      </c>
      <c r="K30" s="106">
        <f t="shared" si="17"/>
        <v>953.69</v>
      </c>
      <c r="L30" s="47">
        <v>2296</v>
      </c>
      <c r="M30" s="47">
        <f t="shared" si="13"/>
        <v>5672</v>
      </c>
      <c r="N30" s="47"/>
      <c r="O30" s="47">
        <f t="shared" si="4"/>
        <v>16897.689999999999</v>
      </c>
      <c r="P30" s="47">
        <v>25</v>
      </c>
      <c r="Q30" s="110"/>
      <c r="R30" s="47"/>
      <c r="S30" s="47"/>
      <c r="T30" s="47">
        <v>1307.23</v>
      </c>
      <c r="U30" s="47">
        <v>200</v>
      </c>
      <c r="V30" s="47">
        <v>7400.87</v>
      </c>
      <c r="W30" s="47">
        <f t="shared" si="5"/>
        <v>8933.1</v>
      </c>
      <c r="X30" s="47">
        <f t="shared" si="6"/>
        <v>4592</v>
      </c>
      <c r="Y30" s="47">
        <f t="shared" si="16"/>
        <v>11352</v>
      </c>
      <c r="Z30" s="47">
        <f t="shared" si="15"/>
        <v>66474.899999999994</v>
      </c>
    </row>
    <row r="31" spans="1:26" s="125" customFormat="1" ht="90">
      <c r="A31" s="46">
        <f t="shared" si="8"/>
        <v>24</v>
      </c>
      <c r="B31" s="48" t="s">
        <v>84</v>
      </c>
      <c r="C31" s="48" t="s">
        <v>35</v>
      </c>
      <c r="D31" s="48" t="s">
        <v>37</v>
      </c>
      <c r="E31" s="48" t="s">
        <v>80</v>
      </c>
      <c r="F31" s="48" t="s">
        <v>40</v>
      </c>
      <c r="G31" s="47">
        <v>95000</v>
      </c>
      <c r="H31" s="47">
        <f t="shared" si="0"/>
        <v>87627.22</v>
      </c>
      <c r="I31" s="47">
        <f t="shared" si="1"/>
        <v>2726.5</v>
      </c>
      <c r="J31" s="47">
        <f t="shared" si="2"/>
        <v>6744.9999999999991</v>
      </c>
      <c r="K31" s="106">
        <f t="shared" si="17"/>
        <v>953.69</v>
      </c>
      <c r="L31" s="47">
        <v>2726.5</v>
      </c>
      <c r="M31" s="47">
        <f t="shared" si="13"/>
        <v>6735.5</v>
      </c>
      <c r="N31" s="47">
        <f>+N7*1</f>
        <v>1919.78</v>
      </c>
      <c r="O31" s="47">
        <f t="shared" si="4"/>
        <v>21806.97</v>
      </c>
      <c r="P31" s="47">
        <v>25</v>
      </c>
      <c r="Q31" s="110">
        <v>24969.64</v>
      </c>
      <c r="R31" s="47"/>
      <c r="S31" s="47"/>
      <c r="T31" s="47">
        <v>2750.56</v>
      </c>
      <c r="U31" s="47">
        <v>200</v>
      </c>
      <c r="V31" s="47">
        <v>0</v>
      </c>
      <c r="W31" s="47">
        <f t="shared" si="5"/>
        <v>27945.200000000001</v>
      </c>
      <c r="X31" s="47">
        <f t="shared" si="6"/>
        <v>7372.78</v>
      </c>
      <c r="Y31" s="47">
        <f t="shared" si="16"/>
        <v>13480.5</v>
      </c>
      <c r="Z31" s="47">
        <f t="shared" si="15"/>
        <v>59682.02</v>
      </c>
    </row>
    <row r="32" spans="1:26" s="120" customFormat="1" ht="45">
      <c r="A32" s="46">
        <f t="shared" si="8"/>
        <v>25</v>
      </c>
      <c r="B32" s="48" t="s">
        <v>85</v>
      </c>
      <c r="C32" s="48" t="s">
        <v>35</v>
      </c>
      <c r="D32" s="48" t="s">
        <v>86</v>
      </c>
      <c r="E32" s="48" t="s">
        <v>87</v>
      </c>
      <c r="F32" s="48" t="s">
        <v>40</v>
      </c>
      <c r="G32" s="47">
        <v>95000</v>
      </c>
      <c r="H32" s="47">
        <f t="shared" si="0"/>
        <v>89547</v>
      </c>
      <c r="I32" s="47">
        <f t="shared" si="1"/>
        <v>2726.5</v>
      </c>
      <c r="J32" s="47">
        <f t="shared" si="2"/>
        <v>6744.9999999999991</v>
      </c>
      <c r="K32" s="106">
        <f t="shared" si="17"/>
        <v>953.69</v>
      </c>
      <c r="L32" s="47">
        <v>2726.5</v>
      </c>
      <c r="M32" s="47">
        <f t="shared" si="13"/>
        <v>6735.5</v>
      </c>
      <c r="N32" s="47"/>
      <c r="O32" s="47">
        <f t="shared" si="4"/>
        <v>19887.190000000002</v>
      </c>
      <c r="P32" s="47">
        <v>25</v>
      </c>
      <c r="Q32" s="110">
        <v>4000</v>
      </c>
      <c r="R32" s="47"/>
      <c r="S32" s="47"/>
      <c r="T32" s="47">
        <v>1654.62</v>
      </c>
      <c r="U32" s="47">
        <v>200</v>
      </c>
      <c r="V32" s="47">
        <v>2953.67</v>
      </c>
      <c r="W32" s="47">
        <f t="shared" si="5"/>
        <v>8833.2900000000009</v>
      </c>
      <c r="X32" s="47">
        <f t="shared" si="6"/>
        <v>5453</v>
      </c>
      <c r="Y32" s="47">
        <f t="shared" si="16"/>
        <v>13480.5</v>
      </c>
      <c r="Z32" s="47">
        <f t="shared" si="15"/>
        <v>80713.709999999992</v>
      </c>
    </row>
    <row r="33" spans="1:26" s="120" customFormat="1" ht="45">
      <c r="A33" s="46">
        <f t="shared" si="8"/>
        <v>26</v>
      </c>
      <c r="B33" s="48" t="s">
        <v>88</v>
      </c>
      <c r="C33" s="48" t="s">
        <v>35</v>
      </c>
      <c r="D33" s="48" t="s">
        <v>89</v>
      </c>
      <c r="E33" s="48" t="s">
        <v>90</v>
      </c>
      <c r="F33" s="48" t="s">
        <v>40</v>
      </c>
      <c r="G33" s="47">
        <v>95000</v>
      </c>
      <c r="H33" s="47">
        <f t="shared" si="0"/>
        <v>87627.22</v>
      </c>
      <c r="I33" s="47">
        <f t="shared" si="1"/>
        <v>2726.5</v>
      </c>
      <c r="J33" s="47">
        <f t="shared" si="2"/>
        <v>6744.9999999999991</v>
      </c>
      <c r="K33" s="106">
        <f t="shared" si="17"/>
        <v>953.69</v>
      </c>
      <c r="L33" s="47">
        <v>2726.5</v>
      </c>
      <c r="M33" s="47">
        <f t="shared" si="13"/>
        <v>6735.5</v>
      </c>
      <c r="N33" s="47">
        <f>+N7*1</f>
        <v>1919.78</v>
      </c>
      <c r="O33" s="47">
        <f t="shared" si="4"/>
        <v>21806.97</v>
      </c>
      <c r="P33" s="47">
        <v>25</v>
      </c>
      <c r="Q33" s="110">
        <v>5000</v>
      </c>
      <c r="R33" s="47"/>
      <c r="S33" s="47"/>
      <c r="T33" s="47">
        <v>2191.65</v>
      </c>
      <c r="U33" s="47">
        <v>200</v>
      </c>
      <c r="V33" s="47">
        <v>10449.299999999999</v>
      </c>
      <c r="W33" s="47">
        <f t="shared" si="5"/>
        <v>17865.949999999997</v>
      </c>
      <c r="X33" s="47">
        <f t="shared" si="6"/>
        <v>7372.78</v>
      </c>
      <c r="Y33" s="47">
        <f t="shared" si="16"/>
        <v>13480.5</v>
      </c>
      <c r="Z33" s="47">
        <f t="shared" si="15"/>
        <v>69761.27</v>
      </c>
    </row>
    <row r="34" spans="1:26" s="120" customFormat="1" ht="45">
      <c r="A34" s="46">
        <f t="shared" si="8"/>
        <v>27</v>
      </c>
      <c r="B34" s="48" t="s">
        <v>91</v>
      </c>
      <c r="C34" s="48" t="s">
        <v>31</v>
      </c>
      <c r="D34" s="48" t="s">
        <v>92</v>
      </c>
      <c r="E34" s="48" t="s">
        <v>93</v>
      </c>
      <c r="F34" s="48" t="s">
        <v>40</v>
      </c>
      <c r="G34" s="47">
        <v>60000</v>
      </c>
      <c r="H34" s="47">
        <f t="shared" si="0"/>
        <v>56556</v>
      </c>
      <c r="I34" s="47">
        <f t="shared" si="1"/>
        <v>1722</v>
      </c>
      <c r="J34" s="47">
        <f t="shared" si="2"/>
        <v>4260</v>
      </c>
      <c r="K34" s="106">
        <f t="shared" si="17"/>
        <v>660.00000000000011</v>
      </c>
      <c r="L34" s="47">
        <v>1722</v>
      </c>
      <c r="M34" s="47">
        <f t="shared" si="13"/>
        <v>4254</v>
      </c>
      <c r="N34" s="47"/>
      <c r="O34" s="47">
        <f t="shared" si="4"/>
        <v>12618</v>
      </c>
      <c r="P34" s="47">
        <v>25</v>
      </c>
      <c r="Q34" s="110"/>
      <c r="R34" s="47"/>
      <c r="S34" s="47"/>
      <c r="T34" s="47">
        <v>2914.19</v>
      </c>
      <c r="U34" s="47">
        <v>200</v>
      </c>
      <c r="V34" s="47">
        <v>0</v>
      </c>
      <c r="W34" s="47">
        <f t="shared" si="5"/>
        <v>3139.19</v>
      </c>
      <c r="X34" s="47">
        <f t="shared" si="6"/>
        <v>3444</v>
      </c>
      <c r="Y34" s="47">
        <f t="shared" si="16"/>
        <v>8514</v>
      </c>
      <c r="Z34" s="47">
        <f t="shared" si="15"/>
        <v>53416.81</v>
      </c>
    </row>
    <row r="35" spans="1:26" s="120" customFormat="1" ht="45">
      <c r="A35" s="46">
        <f t="shared" si="8"/>
        <v>28</v>
      </c>
      <c r="B35" s="48" t="s">
        <v>94</v>
      </c>
      <c r="C35" s="48" t="s">
        <v>31</v>
      </c>
      <c r="D35" s="48" t="s">
        <v>37</v>
      </c>
      <c r="E35" s="48" t="s">
        <v>95</v>
      </c>
      <c r="F35" s="48" t="s">
        <v>40</v>
      </c>
      <c r="G35" s="47">
        <v>48000</v>
      </c>
      <c r="H35" s="47">
        <f t="shared" si="0"/>
        <v>45244.800000000003</v>
      </c>
      <c r="I35" s="47">
        <f t="shared" si="1"/>
        <v>1377.6</v>
      </c>
      <c r="J35" s="47">
        <f t="shared" si="2"/>
        <v>3407.9999999999995</v>
      </c>
      <c r="K35" s="47">
        <f t="shared" si="17"/>
        <v>528</v>
      </c>
      <c r="L35" s="47">
        <v>1377.6</v>
      </c>
      <c r="M35" s="47">
        <f t="shared" si="13"/>
        <v>3403.2000000000003</v>
      </c>
      <c r="N35" s="47"/>
      <c r="O35" s="47">
        <f t="shared" si="4"/>
        <v>10094.4</v>
      </c>
      <c r="P35" s="47">
        <v>25</v>
      </c>
      <c r="Q35" s="110"/>
      <c r="R35" s="47"/>
      <c r="S35" s="47"/>
      <c r="T35" s="47">
        <v>1563.04</v>
      </c>
      <c r="U35" s="47">
        <v>200</v>
      </c>
      <c r="V35" s="47">
        <v>0</v>
      </c>
      <c r="W35" s="47">
        <f t="shared" si="5"/>
        <v>1788.04</v>
      </c>
      <c r="X35" s="47">
        <f t="shared" si="6"/>
        <v>2755.2</v>
      </c>
      <c r="Y35" s="47">
        <f t="shared" si="16"/>
        <v>6811.2</v>
      </c>
      <c r="Z35" s="47">
        <f t="shared" si="15"/>
        <v>43456.76</v>
      </c>
    </row>
    <row r="36" spans="1:26" s="120" customFormat="1" ht="30">
      <c r="A36" s="46">
        <f t="shared" si="8"/>
        <v>29</v>
      </c>
      <c r="B36" s="48" t="s">
        <v>96</v>
      </c>
      <c r="C36" s="48" t="s">
        <v>35</v>
      </c>
      <c r="D36" s="48" t="s">
        <v>37</v>
      </c>
      <c r="E36" s="48" t="s">
        <v>97</v>
      </c>
      <c r="F36" s="48" t="s">
        <v>40</v>
      </c>
      <c r="G36" s="47">
        <v>60000</v>
      </c>
      <c r="H36" s="47">
        <f t="shared" si="0"/>
        <v>56556</v>
      </c>
      <c r="I36" s="47">
        <f t="shared" si="1"/>
        <v>1722</v>
      </c>
      <c r="J36" s="47">
        <f t="shared" si="2"/>
        <v>4260</v>
      </c>
      <c r="K36" s="106">
        <f t="shared" si="17"/>
        <v>660.00000000000011</v>
      </c>
      <c r="L36" s="47">
        <v>1722</v>
      </c>
      <c r="M36" s="47">
        <f t="shared" si="13"/>
        <v>4254</v>
      </c>
      <c r="N36" s="47"/>
      <c r="O36" s="47">
        <f t="shared" si="4"/>
        <v>12618</v>
      </c>
      <c r="P36" s="47">
        <v>25</v>
      </c>
      <c r="Q36" s="110">
        <v>1783.52</v>
      </c>
      <c r="R36" s="47"/>
      <c r="S36" s="47"/>
      <c r="T36" s="47">
        <v>789.54</v>
      </c>
      <c r="U36" s="47">
        <v>200</v>
      </c>
      <c r="V36" s="47">
        <v>343.99</v>
      </c>
      <c r="W36" s="47">
        <f t="shared" si="5"/>
        <v>3142.05</v>
      </c>
      <c r="X36" s="47">
        <f t="shared" si="6"/>
        <v>3444</v>
      </c>
      <c r="Y36" s="47">
        <f t="shared" si="16"/>
        <v>8514</v>
      </c>
      <c r="Z36" s="47">
        <f t="shared" si="15"/>
        <v>53413.95</v>
      </c>
    </row>
    <row r="37" spans="1:26" s="120" customFormat="1" ht="30">
      <c r="A37" s="46">
        <f t="shared" si="8"/>
        <v>30</v>
      </c>
      <c r="B37" s="48" t="s">
        <v>98</v>
      </c>
      <c r="C37" s="48" t="s">
        <v>31</v>
      </c>
      <c r="D37" s="48" t="s">
        <v>50</v>
      </c>
      <c r="E37" s="48" t="s">
        <v>99</v>
      </c>
      <c r="F37" s="48" t="s">
        <v>40</v>
      </c>
      <c r="G37" s="47">
        <v>60000</v>
      </c>
      <c r="H37" s="47">
        <f t="shared" si="0"/>
        <v>54636.22</v>
      </c>
      <c r="I37" s="47">
        <f t="shared" si="1"/>
        <v>1722</v>
      </c>
      <c r="J37" s="47">
        <f t="shared" si="2"/>
        <v>4260</v>
      </c>
      <c r="K37" s="106">
        <f t="shared" si="17"/>
        <v>660.00000000000011</v>
      </c>
      <c r="L37" s="47">
        <v>1722</v>
      </c>
      <c r="M37" s="47">
        <f t="shared" si="13"/>
        <v>4254</v>
      </c>
      <c r="N37" s="47">
        <f>+N7*1</f>
        <v>1919.78</v>
      </c>
      <c r="O37" s="47">
        <f t="shared" si="4"/>
        <v>14537.78</v>
      </c>
      <c r="P37" s="47">
        <v>25</v>
      </c>
      <c r="Q37" s="110">
        <v>3552.23</v>
      </c>
      <c r="R37" s="47"/>
      <c r="S37" s="47"/>
      <c r="T37" s="47">
        <v>1444</v>
      </c>
      <c r="U37" s="47">
        <v>200</v>
      </c>
      <c r="V37" s="47">
        <v>2129.5500000000002</v>
      </c>
      <c r="W37" s="47">
        <f t="shared" si="5"/>
        <v>7350.78</v>
      </c>
      <c r="X37" s="47">
        <f t="shared" si="6"/>
        <v>5363.78</v>
      </c>
      <c r="Y37" s="47">
        <f t="shared" si="16"/>
        <v>8514</v>
      </c>
      <c r="Z37" s="47">
        <f t="shared" si="15"/>
        <v>47285.440000000002</v>
      </c>
    </row>
    <row r="38" spans="1:26" s="120" customFormat="1" ht="30">
      <c r="A38" s="46">
        <f t="shared" si="8"/>
        <v>31</v>
      </c>
      <c r="B38" s="48" t="s">
        <v>100</v>
      </c>
      <c r="C38" s="48" t="s">
        <v>35</v>
      </c>
      <c r="D38" s="48" t="s">
        <v>66</v>
      </c>
      <c r="E38" s="48" t="s">
        <v>101</v>
      </c>
      <c r="F38" s="48" t="s">
        <v>40</v>
      </c>
      <c r="G38" s="47">
        <v>60000</v>
      </c>
      <c r="H38" s="47">
        <f t="shared" si="0"/>
        <v>56556</v>
      </c>
      <c r="I38" s="47">
        <f t="shared" si="1"/>
        <v>1722</v>
      </c>
      <c r="J38" s="47">
        <f t="shared" si="2"/>
        <v>4260</v>
      </c>
      <c r="K38" s="106">
        <f t="shared" si="17"/>
        <v>660.00000000000011</v>
      </c>
      <c r="L38" s="47">
        <v>1722</v>
      </c>
      <c r="M38" s="47">
        <f t="shared" si="13"/>
        <v>4254</v>
      </c>
      <c r="N38" s="47"/>
      <c r="O38" s="47">
        <f t="shared" si="4"/>
        <v>12618</v>
      </c>
      <c r="P38" s="47">
        <v>25</v>
      </c>
      <c r="Q38" s="110">
        <v>500</v>
      </c>
      <c r="R38" s="47"/>
      <c r="S38" s="47"/>
      <c r="T38" s="47">
        <v>1295.5</v>
      </c>
      <c r="U38" s="47">
        <v>200</v>
      </c>
      <c r="V38" s="47">
        <v>3486.68</v>
      </c>
      <c r="W38" s="47">
        <f t="shared" si="5"/>
        <v>5507.18</v>
      </c>
      <c r="X38" s="47">
        <f t="shared" si="6"/>
        <v>3444</v>
      </c>
      <c r="Y38" s="47">
        <f t="shared" si="16"/>
        <v>8514</v>
      </c>
      <c r="Z38" s="47">
        <f t="shared" si="15"/>
        <v>51048.82</v>
      </c>
    </row>
    <row r="39" spans="1:26" s="120" customFormat="1" ht="45">
      <c r="A39" s="46">
        <f t="shared" si="8"/>
        <v>32</v>
      </c>
      <c r="B39" s="48" t="s">
        <v>102</v>
      </c>
      <c r="C39" s="48" t="s">
        <v>35</v>
      </c>
      <c r="D39" s="48" t="s">
        <v>42</v>
      </c>
      <c r="E39" s="48" t="s">
        <v>103</v>
      </c>
      <c r="F39" s="48" t="s">
        <v>40</v>
      </c>
      <c r="G39" s="47">
        <v>60000</v>
      </c>
      <c r="H39" s="47">
        <f t="shared" ref="H39:H70" si="18">+G39-(I39+L39+N39)</f>
        <v>56556</v>
      </c>
      <c r="I39" s="47">
        <f t="shared" ref="I39:I70" si="19">IF(G39&lt;=374040,G39*2.87%,9334.68)</f>
        <v>1722</v>
      </c>
      <c r="J39" s="47">
        <f t="shared" ref="J39:J70" si="20">IF(G39&lt;=374040,G39*7.1%,23092.75)</f>
        <v>4260</v>
      </c>
      <c r="K39" s="106">
        <f t="shared" si="17"/>
        <v>660.00000000000011</v>
      </c>
      <c r="L39" s="47">
        <v>1722</v>
      </c>
      <c r="M39" s="47">
        <f t="shared" si="13"/>
        <v>4254</v>
      </c>
      <c r="N39" s="47"/>
      <c r="O39" s="47">
        <f t="shared" ref="O39:O70" si="21">+I39+J39+K39+L39+M39+N39</f>
        <v>12618</v>
      </c>
      <c r="P39" s="47">
        <v>25</v>
      </c>
      <c r="Q39" s="110">
        <v>3000</v>
      </c>
      <c r="R39" s="47"/>
      <c r="S39" s="47"/>
      <c r="T39" s="47">
        <v>1663.03</v>
      </c>
      <c r="U39" s="47">
        <v>200</v>
      </c>
      <c r="V39" s="47">
        <v>3486.68</v>
      </c>
      <c r="W39" s="47">
        <f t="shared" ref="W39:W70" si="22">P39+Q39+R39+T39+U39+V39</f>
        <v>8374.7099999999991</v>
      </c>
      <c r="X39" s="47">
        <f t="shared" ref="X39:X70" si="23">+I39+L39+N39</f>
        <v>3444</v>
      </c>
      <c r="Y39" s="47">
        <f t="shared" si="16"/>
        <v>8514</v>
      </c>
      <c r="Z39" s="47">
        <f t="shared" si="15"/>
        <v>48181.29</v>
      </c>
    </row>
    <row r="40" spans="1:26" s="120" customFormat="1" ht="45">
      <c r="A40" s="46">
        <f t="shared" si="8"/>
        <v>33</v>
      </c>
      <c r="B40" s="48" t="s">
        <v>104</v>
      </c>
      <c r="C40" s="48" t="s">
        <v>35</v>
      </c>
      <c r="D40" s="48" t="s">
        <v>63</v>
      </c>
      <c r="E40" s="48" t="s">
        <v>105</v>
      </c>
      <c r="F40" s="48" t="s">
        <v>49</v>
      </c>
      <c r="G40" s="47">
        <v>80000</v>
      </c>
      <c r="H40" s="47">
        <f t="shared" si="18"/>
        <v>75408</v>
      </c>
      <c r="I40" s="47">
        <f t="shared" si="19"/>
        <v>2296</v>
      </c>
      <c r="J40" s="47">
        <f t="shared" si="20"/>
        <v>5679.9999999999991</v>
      </c>
      <c r="K40" s="106">
        <f t="shared" si="17"/>
        <v>953.69</v>
      </c>
      <c r="L40" s="47">
        <v>2296</v>
      </c>
      <c r="M40" s="47">
        <f t="shared" si="13"/>
        <v>5672</v>
      </c>
      <c r="N40" s="47"/>
      <c r="O40" s="47">
        <f t="shared" si="21"/>
        <v>16897.689999999999</v>
      </c>
      <c r="P40" s="47">
        <v>25</v>
      </c>
      <c r="Q40" s="110">
        <v>9860.77</v>
      </c>
      <c r="R40" s="47"/>
      <c r="S40" s="47"/>
      <c r="T40" s="47">
        <v>1464.48</v>
      </c>
      <c r="U40" s="47">
        <v>200</v>
      </c>
      <c r="V40" s="47">
        <v>7400.87</v>
      </c>
      <c r="W40" s="47">
        <f t="shared" si="22"/>
        <v>18951.12</v>
      </c>
      <c r="X40" s="47">
        <f t="shared" si="23"/>
        <v>4592</v>
      </c>
      <c r="Y40" s="47">
        <f t="shared" si="16"/>
        <v>11352</v>
      </c>
      <c r="Z40" s="47">
        <f t="shared" si="15"/>
        <v>56456.880000000005</v>
      </c>
    </row>
    <row r="41" spans="1:26" s="120" customFormat="1" ht="30">
      <c r="A41" s="46">
        <f t="shared" si="8"/>
        <v>34</v>
      </c>
      <c r="B41" s="48" t="s">
        <v>106</v>
      </c>
      <c r="C41" s="48" t="s">
        <v>35</v>
      </c>
      <c r="D41" s="48" t="s">
        <v>107</v>
      </c>
      <c r="E41" s="48" t="s">
        <v>108</v>
      </c>
      <c r="F41" s="48" t="s">
        <v>49</v>
      </c>
      <c r="G41" s="47">
        <v>100000</v>
      </c>
      <c r="H41" s="47">
        <f t="shared" si="18"/>
        <v>88330.66</v>
      </c>
      <c r="I41" s="47">
        <f t="shared" si="19"/>
        <v>2870</v>
      </c>
      <c r="J41" s="47">
        <f t="shared" si="20"/>
        <v>7099.9999999999991</v>
      </c>
      <c r="K41" s="106">
        <f t="shared" ref="K41:K71" si="24">IF(G41&lt;=74808,G41*1.1%,953.69)</f>
        <v>953.69</v>
      </c>
      <c r="L41" s="47">
        <f t="shared" ref="L41:L56" si="25">IF(G41&lt;=187020,G41*3.04%,4943.8)</f>
        <v>3040</v>
      </c>
      <c r="M41" s="47">
        <f t="shared" si="13"/>
        <v>7090.0000000000009</v>
      </c>
      <c r="N41" s="47">
        <f>+N7*3</f>
        <v>5759.34</v>
      </c>
      <c r="O41" s="47">
        <f t="shared" si="21"/>
        <v>26813.030000000002</v>
      </c>
      <c r="P41" s="47">
        <v>25</v>
      </c>
      <c r="Q41" s="110"/>
      <c r="R41" s="47"/>
      <c r="S41" s="47"/>
      <c r="T41" s="47">
        <v>797.28</v>
      </c>
      <c r="U41" s="47">
        <v>200</v>
      </c>
      <c r="V41" s="47">
        <v>10665.53</v>
      </c>
      <c r="W41" s="47">
        <f t="shared" si="22"/>
        <v>11687.810000000001</v>
      </c>
      <c r="X41" s="47">
        <f t="shared" si="23"/>
        <v>11669.34</v>
      </c>
      <c r="Y41" s="47">
        <f t="shared" si="16"/>
        <v>14190</v>
      </c>
      <c r="Z41" s="47">
        <f t="shared" si="15"/>
        <v>76642.850000000006</v>
      </c>
    </row>
    <row r="42" spans="1:26" s="120" customFormat="1" ht="30.75" customHeight="1">
      <c r="A42" s="46">
        <f t="shared" si="8"/>
        <v>35</v>
      </c>
      <c r="B42" s="48" t="s">
        <v>109</v>
      </c>
      <c r="C42" s="48" t="s">
        <v>31</v>
      </c>
      <c r="D42" s="48" t="s">
        <v>37</v>
      </c>
      <c r="E42" s="48" t="s">
        <v>105</v>
      </c>
      <c r="F42" s="48" t="s">
        <v>40</v>
      </c>
      <c r="G42" s="47">
        <v>46000</v>
      </c>
      <c r="H42" s="47">
        <f t="shared" si="18"/>
        <v>43281.4</v>
      </c>
      <c r="I42" s="47">
        <f t="shared" si="19"/>
        <v>1320.2</v>
      </c>
      <c r="J42" s="47">
        <f t="shared" si="20"/>
        <v>3265.9999999999995</v>
      </c>
      <c r="K42" s="106">
        <f t="shared" si="24"/>
        <v>506.00000000000006</v>
      </c>
      <c r="L42" s="47">
        <f t="shared" si="25"/>
        <v>1398.4</v>
      </c>
      <c r="M42" s="47">
        <f t="shared" si="13"/>
        <v>3261.4</v>
      </c>
      <c r="N42" s="47"/>
      <c r="O42" s="47">
        <f t="shared" si="21"/>
        <v>9752</v>
      </c>
      <c r="P42" s="47">
        <v>25</v>
      </c>
      <c r="Q42" s="110"/>
      <c r="R42" s="47"/>
      <c r="S42" s="47"/>
      <c r="T42" s="47">
        <v>1134.67</v>
      </c>
      <c r="U42" s="47">
        <v>200</v>
      </c>
      <c r="V42" s="47">
        <v>0</v>
      </c>
      <c r="W42" s="47">
        <f t="shared" si="22"/>
        <v>1359.67</v>
      </c>
      <c r="X42" s="47">
        <f t="shared" si="23"/>
        <v>2718.6000000000004</v>
      </c>
      <c r="Y42" s="47">
        <f t="shared" si="16"/>
        <v>6527.4</v>
      </c>
      <c r="Z42" s="47">
        <f t="shared" si="15"/>
        <v>41921.729999999996</v>
      </c>
    </row>
    <row r="43" spans="1:26" s="126" customFormat="1" ht="45">
      <c r="A43" s="46">
        <f t="shared" si="8"/>
        <v>36</v>
      </c>
      <c r="B43" s="93" t="s">
        <v>110</v>
      </c>
      <c r="C43" s="93" t="s">
        <v>35</v>
      </c>
      <c r="D43" s="93" t="s">
        <v>111</v>
      </c>
      <c r="E43" s="93" t="s">
        <v>105</v>
      </c>
      <c r="F43" s="93" t="s">
        <v>112</v>
      </c>
      <c r="G43" s="111">
        <v>53000</v>
      </c>
      <c r="H43" s="111">
        <f t="shared" si="18"/>
        <v>49957.8</v>
      </c>
      <c r="I43" s="111">
        <f t="shared" si="19"/>
        <v>1521.1</v>
      </c>
      <c r="J43" s="111">
        <f t="shared" si="20"/>
        <v>3762.9999999999995</v>
      </c>
      <c r="K43" s="106">
        <f t="shared" si="24"/>
        <v>583.00000000000011</v>
      </c>
      <c r="L43" s="111">
        <v>1521.1</v>
      </c>
      <c r="M43" s="47">
        <f t="shared" si="13"/>
        <v>3757.7000000000003</v>
      </c>
      <c r="N43" s="111"/>
      <c r="O43" s="111">
        <f t="shared" si="21"/>
        <v>11145.9</v>
      </c>
      <c r="P43" s="111">
        <v>25</v>
      </c>
      <c r="Q43" s="112">
        <v>5000</v>
      </c>
      <c r="R43" s="111"/>
      <c r="S43" s="111"/>
      <c r="T43" s="111">
        <v>164.57</v>
      </c>
      <c r="U43" s="111">
        <v>200</v>
      </c>
      <c r="V43" s="47">
        <v>0</v>
      </c>
      <c r="W43" s="111">
        <f t="shared" si="22"/>
        <v>5389.57</v>
      </c>
      <c r="X43" s="111">
        <f t="shared" si="23"/>
        <v>3042.2</v>
      </c>
      <c r="Y43" s="111">
        <f t="shared" si="16"/>
        <v>7520.7</v>
      </c>
      <c r="Z43" s="111">
        <f t="shared" ref="Z43:Z74" si="26">+G43-(W43+X43)</f>
        <v>44568.229999999996</v>
      </c>
    </row>
    <row r="44" spans="1:26" s="120" customFormat="1" ht="45">
      <c r="A44" s="46">
        <f t="shared" si="8"/>
        <v>37</v>
      </c>
      <c r="B44" s="48" t="s">
        <v>113</v>
      </c>
      <c r="C44" s="48" t="s">
        <v>35</v>
      </c>
      <c r="D44" s="48" t="s">
        <v>111</v>
      </c>
      <c r="E44" s="48" t="s">
        <v>105</v>
      </c>
      <c r="F44" s="48" t="s">
        <v>112</v>
      </c>
      <c r="G44" s="47">
        <v>36000</v>
      </c>
      <c r="H44" s="47">
        <f t="shared" si="18"/>
        <v>33872.400000000001</v>
      </c>
      <c r="I44" s="47">
        <f t="shared" si="19"/>
        <v>1033.2</v>
      </c>
      <c r="J44" s="47">
        <f t="shared" si="20"/>
        <v>2555.9999999999995</v>
      </c>
      <c r="K44" s="106">
        <f t="shared" si="24"/>
        <v>396.00000000000006</v>
      </c>
      <c r="L44" s="47">
        <f t="shared" si="25"/>
        <v>1094.4000000000001</v>
      </c>
      <c r="M44" s="47">
        <f t="shared" si="13"/>
        <v>2552.4</v>
      </c>
      <c r="N44" s="47"/>
      <c r="O44" s="47">
        <f t="shared" si="21"/>
        <v>7632</v>
      </c>
      <c r="P44" s="47">
        <v>25</v>
      </c>
      <c r="Q44" s="110"/>
      <c r="R44" s="47"/>
      <c r="S44" s="47"/>
      <c r="T44" s="47"/>
      <c r="U44" s="47">
        <v>200</v>
      </c>
      <c r="V44" s="47">
        <v>0</v>
      </c>
      <c r="W44" s="47">
        <f t="shared" si="22"/>
        <v>225</v>
      </c>
      <c r="X44" s="47">
        <f t="shared" si="23"/>
        <v>2127.6000000000004</v>
      </c>
      <c r="Y44" s="47">
        <f t="shared" si="16"/>
        <v>5108.3999999999996</v>
      </c>
      <c r="Z44" s="47">
        <f t="shared" si="26"/>
        <v>33647.4</v>
      </c>
    </row>
    <row r="45" spans="1:26" s="124" customFormat="1" ht="45">
      <c r="A45" s="46">
        <f t="shared" si="8"/>
        <v>38</v>
      </c>
      <c r="B45" s="92" t="s">
        <v>114</v>
      </c>
      <c r="C45" s="92" t="s">
        <v>35</v>
      </c>
      <c r="D45" s="92" t="s">
        <v>89</v>
      </c>
      <c r="E45" s="92" t="s">
        <v>105</v>
      </c>
      <c r="F45" s="92" t="s">
        <v>112</v>
      </c>
      <c r="G45" s="106">
        <v>46000</v>
      </c>
      <c r="H45" s="106">
        <f t="shared" si="18"/>
        <v>39441.839999999997</v>
      </c>
      <c r="I45" s="106">
        <f t="shared" si="19"/>
        <v>1320.2</v>
      </c>
      <c r="J45" s="106">
        <f t="shared" si="20"/>
        <v>3265.9999999999995</v>
      </c>
      <c r="K45" s="106">
        <f t="shared" si="24"/>
        <v>506.00000000000006</v>
      </c>
      <c r="L45" s="106">
        <f t="shared" si="25"/>
        <v>1398.4</v>
      </c>
      <c r="M45" s="47">
        <f t="shared" si="13"/>
        <v>3261.4</v>
      </c>
      <c r="N45" s="106">
        <v>3839.56</v>
      </c>
      <c r="O45" s="106">
        <f t="shared" si="21"/>
        <v>13591.56</v>
      </c>
      <c r="P45" s="106">
        <v>25</v>
      </c>
      <c r="Q45" s="113">
        <v>2860.81</v>
      </c>
      <c r="R45" s="106"/>
      <c r="S45" s="106"/>
      <c r="T45" s="106">
        <v>797.28</v>
      </c>
      <c r="U45" s="106">
        <v>200</v>
      </c>
      <c r="V45" s="47">
        <v>0</v>
      </c>
      <c r="W45" s="106">
        <f t="shared" si="22"/>
        <v>3883.09</v>
      </c>
      <c r="X45" s="106">
        <f t="shared" si="23"/>
        <v>6558.16</v>
      </c>
      <c r="Y45" s="106">
        <f t="shared" si="16"/>
        <v>6527.4</v>
      </c>
      <c r="Z45" s="106">
        <f t="shared" si="26"/>
        <v>35558.75</v>
      </c>
    </row>
    <row r="46" spans="1:26" s="120" customFormat="1" ht="45">
      <c r="A46" s="46">
        <f t="shared" si="8"/>
        <v>39</v>
      </c>
      <c r="B46" s="48" t="s">
        <v>115</v>
      </c>
      <c r="C46" s="48" t="s">
        <v>35</v>
      </c>
      <c r="D46" s="48" t="s">
        <v>111</v>
      </c>
      <c r="E46" s="48" t="s">
        <v>105</v>
      </c>
      <c r="F46" s="48" t="s">
        <v>112</v>
      </c>
      <c r="G46" s="47">
        <v>46000</v>
      </c>
      <c r="H46" s="47">
        <f t="shared" si="18"/>
        <v>43281.4</v>
      </c>
      <c r="I46" s="47">
        <f t="shared" si="19"/>
        <v>1320.2</v>
      </c>
      <c r="J46" s="47">
        <f t="shared" si="20"/>
        <v>3265.9999999999995</v>
      </c>
      <c r="K46" s="106">
        <f t="shared" si="24"/>
        <v>506.00000000000006</v>
      </c>
      <c r="L46" s="47">
        <f t="shared" si="25"/>
        <v>1398.4</v>
      </c>
      <c r="M46" s="47">
        <f t="shared" si="13"/>
        <v>3261.4</v>
      </c>
      <c r="N46" s="47"/>
      <c r="O46" s="47">
        <f t="shared" si="21"/>
        <v>9752</v>
      </c>
      <c r="P46" s="47">
        <v>25</v>
      </c>
      <c r="Q46" s="110"/>
      <c r="R46" s="47"/>
      <c r="S46" s="47"/>
      <c r="T46" s="47">
        <v>772.24</v>
      </c>
      <c r="U46" s="47">
        <v>200</v>
      </c>
      <c r="V46" s="47">
        <v>0</v>
      </c>
      <c r="W46" s="47">
        <f t="shared" si="22"/>
        <v>997.24</v>
      </c>
      <c r="X46" s="47">
        <f t="shared" si="23"/>
        <v>2718.6000000000004</v>
      </c>
      <c r="Y46" s="47">
        <f t="shared" si="16"/>
        <v>6527.4</v>
      </c>
      <c r="Z46" s="47">
        <f t="shared" si="26"/>
        <v>42284.160000000003</v>
      </c>
    </row>
    <row r="47" spans="1:26" s="122" customFormat="1" ht="45">
      <c r="A47" s="46">
        <f t="shared" si="8"/>
        <v>40</v>
      </c>
      <c r="B47" s="48" t="s">
        <v>116</v>
      </c>
      <c r="C47" s="48" t="s">
        <v>35</v>
      </c>
      <c r="D47" s="48" t="s">
        <v>111</v>
      </c>
      <c r="E47" s="48" t="s">
        <v>105</v>
      </c>
      <c r="F47" s="48" t="s">
        <v>112</v>
      </c>
      <c r="G47" s="47">
        <v>36000</v>
      </c>
      <c r="H47" s="47">
        <f t="shared" si="18"/>
        <v>33872.400000000001</v>
      </c>
      <c r="I47" s="47">
        <f t="shared" si="19"/>
        <v>1033.2</v>
      </c>
      <c r="J47" s="47">
        <f t="shared" si="20"/>
        <v>2555.9999999999995</v>
      </c>
      <c r="K47" s="106">
        <f t="shared" si="24"/>
        <v>396.00000000000006</v>
      </c>
      <c r="L47" s="47">
        <f t="shared" si="25"/>
        <v>1094.4000000000001</v>
      </c>
      <c r="M47" s="47">
        <f t="shared" si="13"/>
        <v>2552.4</v>
      </c>
      <c r="N47" s="47"/>
      <c r="O47" s="47">
        <f t="shared" si="21"/>
        <v>7632</v>
      </c>
      <c r="P47" s="47">
        <v>25</v>
      </c>
      <c r="Q47" s="110"/>
      <c r="R47" s="47"/>
      <c r="S47" s="47"/>
      <c r="T47" s="47">
        <v>797.28</v>
      </c>
      <c r="U47" s="47">
        <v>200</v>
      </c>
      <c r="V47" s="47">
        <v>0</v>
      </c>
      <c r="W47" s="47">
        <f t="shared" si="22"/>
        <v>1022.28</v>
      </c>
      <c r="X47" s="47">
        <f t="shared" si="23"/>
        <v>2127.6000000000004</v>
      </c>
      <c r="Y47" s="47">
        <f t="shared" si="16"/>
        <v>5108.3999999999996</v>
      </c>
      <c r="Z47" s="47">
        <f t="shared" si="26"/>
        <v>32850.120000000003</v>
      </c>
    </row>
    <row r="48" spans="1:26" s="52" customFormat="1" ht="45">
      <c r="A48" s="46">
        <f t="shared" si="8"/>
        <v>41</v>
      </c>
      <c r="B48" s="48" t="s">
        <v>117</v>
      </c>
      <c r="C48" s="48" t="s">
        <v>35</v>
      </c>
      <c r="D48" s="48" t="s">
        <v>111</v>
      </c>
      <c r="E48" s="48" t="s">
        <v>105</v>
      </c>
      <c r="F48" s="48" t="s">
        <v>112</v>
      </c>
      <c r="G48" s="47">
        <v>46000</v>
      </c>
      <c r="H48" s="47">
        <f t="shared" si="18"/>
        <v>41361.620000000003</v>
      </c>
      <c r="I48" s="47">
        <f t="shared" si="19"/>
        <v>1320.2</v>
      </c>
      <c r="J48" s="47">
        <f t="shared" si="20"/>
        <v>3265.9999999999995</v>
      </c>
      <c r="K48" s="106">
        <f t="shared" si="24"/>
        <v>506.00000000000006</v>
      </c>
      <c r="L48" s="47">
        <f t="shared" si="25"/>
        <v>1398.4</v>
      </c>
      <c r="M48" s="47">
        <f t="shared" si="13"/>
        <v>3261.4</v>
      </c>
      <c r="N48" s="47">
        <f>+N7</f>
        <v>1919.78</v>
      </c>
      <c r="O48" s="47">
        <f t="shared" si="21"/>
        <v>11671.78</v>
      </c>
      <c r="P48" s="47">
        <v>25</v>
      </c>
      <c r="Q48" s="110"/>
      <c r="R48" s="47"/>
      <c r="S48" s="47"/>
      <c r="T48" s="47"/>
      <c r="U48" s="47">
        <v>200</v>
      </c>
      <c r="V48" s="47">
        <v>0</v>
      </c>
      <c r="W48" s="47">
        <f t="shared" si="22"/>
        <v>225</v>
      </c>
      <c r="X48" s="47">
        <f t="shared" si="23"/>
        <v>4638.38</v>
      </c>
      <c r="Y48" s="47">
        <f t="shared" si="16"/>
        <v>6527.4</v>
      </c>
      <c r="Z48" s="47">
        <f t="shared" si="26"/>
        <v>41136.620000000003</v>
      </c>
    </row>
    <row r="49" spans="1:26" s="120" customFormat="1" ht="30">
      <c r="A49" s="46">
        <f t="shared" si="8"/>
        <v>42</v>
      </c>
      <c r="B49" s="48" t="s">
        <v>118</v>
      </c>
      <c r="C49" s="48" t="s">
        <v>35</v>
      </c>
      <c r="D49" s="48" t="s">
        <v>52</v>
      </c>
      <c r="E49" s="48" t="s">
        <v>105</v>
      </c>
      <c r="F49" s="48" t="s">
        <v>112</v>
      </c>
      <c r="G49" s="47">
        <v>46000</v>
      </c>
      <c r="H49" s="47">
        <f t="shared" si="18"/>
        <v>43281.4</v>
      </c>
      <c r="I49" s="47">
        <f t="shared" si="19"/>
        <v>1320.2</v>
      </c>
      <c r="J49" s="47">
        <f t="shared" si="20"/>
        <v>3265.9999999999995</v>
      </c>
      <c r="K49" s="106">
        <f t="shared" si="24"/>
        <v>506.00000000000006</v>
      </c>
      <c r="L49" s="47">
        <f t="shared" si="25"/>
        <v>1398.4</v>
      </c>
      <c r="M49" s="47">
        <f t="shared" si="13"/>
        <v>3261.4</v>
      </c>
      <c r="N49" s="47"/>
      <c r="O49" s="47">
        <f t="shared" si="21"/>
        <v>9752</v>
      </c>
      <c r="P49" s="47">
        <v>25</v>
      </c>
      <c r="Q49" s="110">
        <v>3000</v>
      </c>
      <c r="R49" s="47"/>
      <c r="S49" s="47"/>
      <c r="T49" s="47">
        <v>915.15</v>
      </c>
      <c r="U49" s="47">
        <v>200</v>
      </c>
      <c r="V49" s="47">
        <v>0</v>
      </c>
      <c r="W49" s="47">
        <f t="shared" si="22"/>
        <v>4140.1499999999996</v>
      </c>
      <c r="X49" s="47">
        <f t="shared" si="23"/>
        <v>2718.6000000000004</v>
      </c>
      <c r="Y49" s="47">
        <f t="shared" si="16"/>
        <v>6527.4</v>
      </c>
      <c r="Z49" s="47">
        <f t="shared" si="26"/>
        <v>39141.25</v>
      </c>
    </row>
    <row r="50" spans="1:26" s="120" customFormat="1" ht="45">
      <c r="A50" s="46">
        <f t="shared" si="8"/>
        <v>43</v>
      </c>
      <c r="B50" s="48" t="s">
        <v>119</v>
      </c>
      <c r="C50" s="48" t="s">
        <v>31</v>
      </c>
      <c r="D50" s="48" t="s">
        <v>111</v>
      </c>
      <c r="E50" s="48" t="s">
        <v>105</v>
      </c>
      <c r="F50" s="48" t="s">
        <v>112</v>
      </c>
      <c r="G50" s="47">
        <v>36000</v>
      </c>
      <c r="H50" s="47">
        <f t="shared" si="18"/>
        <v>33872.400000000001</v>
      </c>
      <c r="I50" s="47">
        <f t="shared" si="19"/>
        <v>1033.2</v>
      </c>
      <c r="J50" s="47">
        <f t="shared" si="20"/>
        <v>2555.9999999999995</v>
      </c>
      <c r="K50" s="106">
        <f t="shared" si="24"/>
        <v>396.00000000000006</v>
      </c>
      <c r="L50" s="47">
        <f t="shared" si="25"/>
        <v>1094.4000000000001</v>
      </c>
      <c r="M50" s="47">
        <f t="shared" si="13"/>
        <v>2552.4</v>
      </c>
      <c r="N50" s="47"/>
      <c r="O50" s="47">
        <f t="shared" si="21"/>
        <v>7632</v>
      </c>
      <c r="P50" s="47">
        <v>25</v>
      </c>
      <c r="Q50" s="110">
        <v>2000</v>
      </c>
      <c r="R50" s="47"/>
      <c r="S50" s="47"/>
      <c r="T50" s="47">
        <v>398.64</v>
      </c>
      <c r="U50" s="47">
        <v>200</v>
      </c>
      <c r="V50" s="47">
        <v>0</v>
      </c>
      <c r="W50" s="47">
        <f t="shared" si="22"/>
        <v>2623.64</v>
      </c>
      <c r="X50" s="47">
        <f t="shared" si="23"/>
        <v>2127.6000000000004</v>
      </c>
      <c r="Y50" s="47">
        <f t="shared" si="16"/>
        <v>5108.3999999999996</v>
      </c>
      <c r="Z50" s="47">
        <f t="shared" si="26"/>
        <v>31248.760000000002</v>
      </c>
    </row>
    <row r="51" spans="1:26" s="120" customFormat="1" ht="30">
      <c r="A51" s="46">
        <f t="shared" si="8"/>
        <v>44</v>
      </c>
      <c r="B51" s="48" t="s">
        <v>120</v>
      </c>
      <c r="C51" s="48" t="s">
        <v>35</v>
      </c>
      <c r="D51" s="104" t="s">
        <v>66</v>
      </c>
      <c r="E51" s="48" t="s">
        <v>191</v>
      </c>
      <c r="F51" s="48" t="s">
        <v>112</v>
      </c>
      <c r="G51" s="47">
        <v>46000</v>
      </c>
      <c r="H51" s="47">
        <f t="shared" si="18"/>
        <v>43281.4</v>
      </c>
      <c r="I51" s="47">
        <f t="shared" si="19"/>
        <v>1320.2</v>
      </c>
      <c r="J51" s="47">
        <f t="shared" si="20"/>
        <v>3265.9999999999995</v>
      </c>
      <c r="K51" s="106">
        <f t="shared" si="24"/>
        <v>506.00000000000006</v>
      </c>
      <c r="L51" s="47">
        <f t="shared" si="25"/>
        <v>1398.4</v>
      </c>
      <c r="M51" s="47">
        <f t="shared" si="13"/>
        <v>3261.4</v>
      </c>
      <c r="N51" s="47"/>
      <c r="O51" s="47">
        <f t="shared" si="21"/>
        <v>9752</v>
      </c>
      <c r="P51" s="47">
        <v>25</v>
      </c>
      <c r="Q51" s="110">
        <v>1000</v>
      </c>
      <c r="R51" s="47"/>
      <c r="S51" s="47"/>
      <c r="T51" s="47">
        <v>1368.68</v>
      </c>
      <c r="U51" s="47">
        <v>200</v>
      </c>
      <c r="V51" s="47">
        <v>1289.46</v>
      </c>
      <c r="W51" s="47">
        <f t="shared" si="22"/>
        <v>3883.1400000000003</v>
      </c>
      <c r="X51" s="47">
        <f t="shared" si="23"/>
        <v>2718.6000000000004</v>
      </c>
      <c r="Y51" s="47">
        <f t="shared" si="16"/>
        <v>6527.4</v>
      </c>
      <c r="Z51" s="47">
        <f t="shared" si="26"/>
        <v>39398.26</v>
      </c>
    </row>
    <row r="52" spans="1:26" s="120" customFormat="1" ht="30">
      <c r="A52" s="46">
        <f t="shared" si="8"/>
        <v>45</v>
      </c>
      <c r="B52" s="48" t="s">
        <v>121</v>
      </c>
      <c r="C52" s="48" t="s">
        <v>31</v>
      </c>
      <c r="D52" s="48" t="s">
        <v>92</v>
      </c>
      <c r="E52" s="48" t="s">
        <v>105</v>
      </c>
      <c r="F52" s="48" t="s">
        <v>112</v>
      </c>
      <c r="G52" s="47">
        <v>46000</v>
      </c>
      <c r="H52" s="47">
        <f t="shared" si="18"/>
        <v>43281.4</v>
      </c>
      <c r="I52" s="47">
        <f t="shared" si="19"/>
        <v>1320.2</v>
      </c>
      <c r="J52" s="47">
        <f t="shared" si="20"/>
        <v>3265.9999999999995</v>
      </c>
      <c r="K52" s="106">
        <f t="shared" si="24"/>
        <v>506.00000000000006</v>
      </c>
      <c r="L52" s="47">
        <f t="shared" si="25"/>
        <v>1398.4</v>
      </c>
      <c r="M52" s="47">
        <f t="shared" si="13"/>
        <v>3261.4</v>
      </c>
      <c r="N52" s="47"/>
      <c r="O52" s="47">
        <f t="shared" si="21"/>
        <v>9752</v>
      </c>
      <c r="P52" s="47">
        <v>25</v>
      </c>
      <c r="Q52" s="110">
        <v>1000</v>
      </c>
      <c r="R52" s="47"/>
      <c r="S52" s="47"/>
      <c r="T52" s="47">
        <v>1658.5</v>
      </c>
      <c r="U52" s="47">
        <v>200</v>
      </c>
      <c r="V52" s="47">
        <v>0</v>
      </c>
      <c r="W52" s="47">
        <f t="shared" si="22"/>
        <v>2883.5</v>
      </c>
      <c r="X52" s="47">
        <f t="shared" si="23"/>
        <v>2718.6000000000004</v>
      </c>
      <c r="Y52" s="47">
        <f t="shared" si="16"/>
        <v>6527.4</v>
      </c>
      <c r="Z52" s="47">
        <f t="shared" si="26"/>
        <v>40397.9</v>
      </c>
    </row>
    <row r="53" spans="1:26" s="126" customFormat="1" ht="30">
      <c r="A53" s="46">
        <f t="shared" si="8"/>
        <v>46</v>
      </c>
      <c r="B53" s="48" t="s">
        <v>122</v>
      </c>
      <c r="C53" s="48" t="s">
        <v>31</v>
      </c>
      <c r="D53" s="48" t="s">
        <v>52</v>
      </c>
      <c r="E53" s="48" t="s">
        <v>105</v>
      </c>
      <c r="F53" s="48" t="s">
        <v>112</v>
      </c>
      <c r="G53" s="47">
        <v>36000</v>
      </c>
      <c r="H53" s="47">
        <f t="shared" si="18"/>
        <v>33872.400000000001</v>
      </c>
      <c r="I53" s="47">
        <f t="shared" si="19"/>
        <v>1033.2</v>
      </c>
      <c r="J53" s="47">
        <f t="shared" si="20"/>
        <v>2555.9999999999995</v>
      </c>
      <c r="K53" s="106">
        <f t="shared" si="24"/>
        <v>396.00000000000006</v>
      </c>
      <c r="L53" s="47">
        <f t="shared" si="25"/>
        <v>1094.4000000000001</v>
      </c>
      <c r="M53" s="47">
        <f t="shared" si="13"/>
        <v>2552.4</v>
      </c>
      <c r="N53" s="47"/>
      <c r="O53" s="47">
        <f t="shared" si="21"/>
        <v>7632</v>
      </c>
      <c r="P53" s="47">
        <v>25</v>
      </c>
      <c r="Q53" s="110"/>
      <c r="R53" s="47"/>
      <c r="S53" s="47"/>
      <c r="T53" s="47">
        <v>2056.92</v>
      </c>
      <c r="U53" s="47">
        <v>200</v>
      </c>
      <c r="V53" s="47">
        <v>0</v>
      </c>
      <c r="W53" s="47">
        <f t="shared" si="22"/>
        <v>2281.92</v>
      </c>
      <c r="X53" s="47">
        <f t="shared" si="23"/>
        <v>2127.6000000000004</v>
      </c>
      <c r="Y53" s="47">
        <f t="shared" si="16"/>
        <v>5108.3999999999996</v>
      </c>
      <c r="Z53" s="47">
        <f t="shared" si="26"/>
        <v>31590.48</v>
      </c>
    </row>
    <row r="54" spans="1:26" s="120" customFormat="1" ht="30">
      <c r="A54" s="46">
        <f t="shared" si="8"/>
        <v>47</v>
      </c>
      <c r="B54" s="48" t="s">
        <v>123</v>
      </c>
      <c r="C54" s="48" t="s">
        <v>31</v>
      </c>
      <c r="D54" s="48" t="s">
        <v>52</v>
      </c>
      <c r="E54" s="48" t="s">
        <v>124</v>
      </c>
      <c r="F54" s="48" t="s">
        <v>112</v>
      </c>
      <c r="G54" s="47">
        <v>36000</v>
      </c>
      <c r="H54" s="47">
        <f t="shared" si="18"/>
        <v>33872.400000000001</v>
      </c>
      <c r="I54" s="47">
        <f t="shared" si="19"/>
        <v>1033.2</v>
      </c>
      <c r="J54" s="47">
        <f t="shared" si="20"/>
        <v>2555.9999999999995</v>
      </c>
      <c r="K54" s="106">
        <f t="shared" si="24"/>
        <v>396.00000000000006</v>
      </c>
      <c r="L54" s="47">
        <f t="shared" si="25"/>
        <v>1094.4000000000001</v>
      </c>
      <c r="M54" s="47">
        <f t="shared" si="13"/>
        <v>2552.4</v>
      </c>
      <c r="N54" s="47"/>
      <c r="O54" s="47">
        <f t="shared" si="21"/>
        <v>7632</v>
      </c>
      <c r="P54" s="47">
        <v>25</v>
      </c>
      <c r="Q54" s="110">
        <v>1500</v>
      </c>
      <c r="R54" s="47"/>
      <c r="S54" s="47"/>
      <c r="T54" s="47">
        <v>797.28</v>
      </c>
      <c r="U54" s="47">
        <v>200</v>
      </c>
      <c r="V54" s="47">
        <v>0</v>
      </c>
      <c r="W54" s="47">
        <f t="shared" si="22"/>
        <v>2522.2799999999997</v>
      </c>
      <c r="X54" s="47">
        <f t="shared" si="23"/>
        <v>2127.6000000000004</v>
      </c>
      <c r="Y54" s="47">
        <f t="shared" si="16"/>
        <v>5108.3999999999996</v>
      </c>
      <c r="Z54" s="47">
        <f t="shared" si="26"/>
        <v>31350.12</v>
      </c>
    </row>
    <row r="55" spans="1:26" s="124" customFormat="1" ht="30">
      <c r="A55" s="46">
        <f t="shared" si="8"/>
        <v>48</v>
      </c>
      <c r="B55" s="48" t="s">
        <v>198</v>
      </c>
      <c r="C55" s="48" t="s">
        <v>35</v>
      </c>
      <c r="D55" s="48" t="s">
        <v>52</v>
      </c>
      <c r="E55" s="48" t="s">
        <v>124</v>
      </c>
      <c r="F55" s="48" t="s">
        <v>112</v>
      </c>
      <c r="G55" s="47">
        <v>36000</v>
      </c>
      <c r="H55" s="47">
        <f t="shared" si="18"/>
        <v>33872.400000000001</v>
      </c>
      <c r="I55" s="47">
        <f t="shared" si="19"/>
        <v>1033.2</v>
      </c>
      <c r="J55" s="47">
        <f t="shared" si="20"/>
        <v>2555.9999999999995</v>
      </c>
      <c r="K55" s="106">
        <f t="shared" si="24"/>
        <v>396.00000000000006</v>
      </c>
      <c r="L55" s="47">
        <f t="shared" si="25"/>
        <v>1094.4000000000001</v>
      </c>
      <c r="M55" s="47">
        <f t="shared" si="13"/>
        <v>2552.4</v>
      </c>
      <c r="N55" s="47"/>
      <c r="O55" s="47">
        <f t="shared" si="21"/>
        <v>7632</v>
      </c>
      <c r="P55" s="47">
        <v>25</v>
      </c>
      <c r="Q55" s="110"/>
      <c r="R55" s="47"/>
      <c r="S55" s="47"/>
      <c r="T55" s="47">
        <v>2180.5</v>
      </c>
      <c r="U55" s="47">
        <v>200</v>
      </c>
      <c r="V55" s="47">
        <v>0</v>
      </c>
      <c r="W55" s="47">
        <f t="shared" si="22"/>
        <v>2405.5</v>
      </c>
      <c r="X55" s="47">
        <f t="shared" si="23"/>
        <v>2127.6000000000004</v>
      </c>
      <c r="Y55" s="47">
        <f t="shared" si="16"/>
        <v>5108.3999999999996</v>
      </c>
      <c r="Z55" s="47">
        <f t="shared" si="26"/>
        <v>31466.9</v>
      </c>
    </row>
    <row r="56" spans="1:26" s="124" customFormat="1" ht="45">
      <c r="A56" s="46">
        <f t="shared" si="8"/>
        <v>49</v>
      </c>
      <c r="B56" s="48" t="s">
        <v>125</v>
      </c>
      <c r="C56" s="48" t="s">
        <v>31</v>
      </c>
      <c r="D56" s="48" t="s">
        <v>52</v>
      </c>
      <c r="E56" s="48" t="s">
        <v>126</v>
      </c>
      <c r="F56" s="48" t="s">
        <v>112</v>
      </c>
      <c r="G56" s="47">
        <v>46000</v>
      </c>
      <c r="H56" s="47">
        <f t="shared" si="18"/>
        <v>41361.620000000003</v>
      </c>
      <c r="I56" s="47">
        <f t="shared" si="19"/>
        <v>1320.2</v>
      </c>
      <c r="J56" s="47">
        <f t="shared" si="20"/>
        <v>3265.9999999999995</v>
      </c>
      <c r="K56" s="106">
        <f t="shared" si="24"/>
        <v>506.00000000000006</v>
      </c>
      <c r="L56" s="47">
        <f t="shared" si="25"/>
        <v>1398.4</v>
      </c>
      <c r="M56" s="47">
        <f t="shared" si="13"/>
        <v>3261.4</v>
      </c>
      <c r="N56" s="47">
        <f>+N7*1</f>
        <v>1919.78</v>
      </c>
      <c r="O56" s="47">
        <f t="shared" si="21"/>
        <v>11671.78</v>
      </c>
      <c r="P56" s="47">
        <v>25</v>
      </c>
      <c r="Q56" s="110">
        <v>200</v>
      </c>
      <c r="R56" s="47"/>
      <c r="S56" s="47"/>
      <c r="T56" s="47">
        <v>1253.3399999999999</v>
      </c>
      <c r="U56" s="47">
        <v>200</v>
      </c>
      <c r="V56" s="47">
        <v>0</v>
      </c>
      <c r="W56" s="47">
        <f t="shared" si="22"/>
        <v>1678.34</v>
      </c>
      <c r="X56" s="47">
        <f t="shared" si="23"/>
        <v>4638.38</v>
      </c>
      <c r="Y56" s="47">
        <f t="shared" ref="Y56:Y86" si="27">+J56+M56</f>
        <v>6527.4</v>
      </c>
      <c r="Z56" s="47">
        <f t="shared" si="26"/>
        <v>39683.279999999999</v>
      </c>
    </row>
    <row r="57" spans="1:26" s="120" customFormat="1" ht="30">
      <c r="A57" s="46">
        <f t="shared" si="8"/>
        <v>50</v>
      </c>
      <c r="B57" s="48" t="s">
        <v>127</v>
      </c>
      <c r="C57" s="48" t="s">
        <v>35</v>
      </c>
      <c r="D57" s="48" t="s">
        <v>92</v>
      </c>
      <c r="E57" s="48" t="s">
        <v>128</v>
      </c>
      <c r="F57" s="48" t="s">
        <v>112</v>
      </c>
      <c r="G57" s="47">
        <v>46000</v>
      </c>
      <c r="H57" s="47">
        <f t="shared" si="18"/>
        <v>43281.4</v>
      </c>
      <c r="I57" s="47">
        <f t="shared" si="19"/>
        <v>1320.2</v>
      </c>
      <c r="J57" s="47">
        <f t="shared" si="20"/>
        <v>3265.9999999999995</v>
      </c>
      <c r="K57" s="106">
        <f t="shared" si="24"/>
        <v>506.00000000000006</v>
      </c>
      <c r="L57" s="47">
        <f t="shared" ref="L57:L85" si="28">IF(G57&lt;=187020,G57*3.04%,4943.8)</f>
        <v>1398.4</v>
      </c>
      <c r="M57" s="47">
        <f t="shared" si="13"/>
        <v>3261.4</v>
      </c>
      <c r="N57" s="47"/>
      <c r="O57" s="47">
        <f t="shared" si="21"/>
        <v>9752</v>
      </c>
      <c r="P57" s="47">
        <v>25</v>
      </c>
      <c r="Q57" s="110"/>
      <c r="R57" s="47"/>
      <c r="S57" s="47"/>
      <c r="T57" s="47">
        <v>850.26</v>
      </c>
      <c r="U57" s="47">
        <v>200</v>
      </c>
      <c r="V57" s="47">
        <v>0</v>
      </c>
      <c r="W57" s="47">
        <f t="shared" si="22"/>
        <v>1075.26</v>
      </c>
      <c r="X57" s="47">
        <f t="shared" si="23"/>
        <v>2718.6000000000004</v>
      </c>
      <c r="Y57" s="47">
        <f t="shared" si="27"/>
        <v>6527.4</v>
      </c>
      <c r="Z57" s="47">
        <f t="shared" si="26"/>
        <v>42206.14</v>
      </c>
    </row>
    <row r="58" spans="1:26" s="120" customFormat="1" ht="30">
      <c r="A58" s="46">
        <f t="shared" si="8"/>
        <v>51</v>
      </c>
      <c r="B58" s="48" t="s">
        <v>129</v>
      </c>
      <c r="C58" s="48" t="s">
        <v>35</v>
      </c>
      <c r="D58" s="48" t="s">
        <v>37</v>
      </c>
      <c r="E58" s="48" t="s">
        <v>130</v>
      </c>
      <c r="F58" s="48" t="s">
        <v>112</v>
      </c>
      <c r="G58" s="47">
        <v>36000</v>
      </c>
      <c r="H58" s="47">
        <f t="shared" si="18"/>
        <v>30032.84</v>
      </c>
      <c r="I58" s="47">
        <f t="shared" si="19"/>
        <v>1033.2</v>
      </c>
      <c r="J58" s="47">
        <f t="shared" si="20"/>
        <v>2555.9999999999995</v>
      </c>
      <c r="K58" s="106">
        <f t="shared" si="24"/>
        <v>396.00000000000006</v>
      </c>
      <c r="L58" s="47">
        <f t="shared" si="28"/>
        <v>1094.4000000000001</v>
      </c>
      <c r="M58" s="47">
        <f t="shared" si="13"/>
        <v>2552.4</v>
      </c>
      <c r="N58" s="47">
        <f>+N7*2</f>
        <v>3839.56</v>
      </c>
      <c r="O58" s="47">
        <f t="shared" si="21"/>
        <v>11471.56</v>
      </c>
      <c r="P58" s="47">
        <v>25</v>
      </c>
      <c r="Q58" s="110"/>
      <c r="R58" s="47"/>
      <c r="S58" s="47"/>
      <c r="T58" s="47">
        <v>2914.42</v>
      </c>
      <c r="U58" s="47">
        <v>200</v>
      </c>
      <c r="V58" s="47">
        <v>0</v>
      </c>
      <c r="W58" s="47">
        <f t="shared" si="22"/>
        <v>3139.42</v>
      </c>
      <c r="X58" s="47">
        <f t="shared" si="23"/>
        <v>5967.16</v>
      </c>
      <c r="Y58" s="47">
        <f t="shared" si="27"/>
        <v>5108.3999999999996</v>
      </c>
      <c r="Z58" s="47">
        <f t="shared" si="26"/>
        <v>26893.42</v>
      </c>
    </row>
    <row r="59" spans="1:26" s="120" customFormat="1" ht="45">
      <c r="A59" s="46">
        <f t="shared" si="8"/>
        <v>52</v>
      </c>
      <c r="B59" s="48" t="s">
        <v>131</v>
      </c>
      <c r="C59" s="48" t="s">
        <v>35</v>
      </c>
      <c r="D59" s="48" t="s">
        <v>132</v>
      </c>
      <c r="E59" s="48" t="s">
        <v>133</v>
      </c>
      <c r="F59" s="48" t="s">
        <v>112</v>
      </c>
      <c r="G59" s="47">
        <v>36000</v>
      </c>
      <c r="H59" s="47">
        <f t="shared" si="18"/>
        <v>33872.400000000001</v>
      </c>
      <c r="I59" s="47">
        <f t="shared" si="19"/>
        <v>1033.2</v>
      </c>
      <c r="J59" s="47">
        <f t="shared" si="20"/>
        <v>2555.9999999999995</v>
      </c>
      <c r="K59" s="106">
        <f t="shared" si="24"/>
        <v>396.00000000000006</v>
      </c>
      <c r="L59" s="47">
        <f t="shared" si="28"/>
        <v>1094.4000000000001</v>
      </c>
      <c r="M59" s="47">
        <f t="shared" si="13"/>
        <v>2552.4</v>
      </c>
      <c r="N59" s="47"/>
      <c r="O59" s="47">
        <f t="shared" si="21"/>
        <v>7632</v>
      </c>
      <c r="P59" s="47">
        <v>25</v>
      </c>
      <c r="Q59" s="110">
        <v>2000</v>
      </c>
      <c r="R59" s="47"/>
      <c r="S59" s="47"/>
      <c r="T59" s="47">
        <v>398.64</v>
      </c>
      <c r="U59" s="47">
        <v>200</v>
      </c>
      <c r="V59" s="47">
        <v>0</v>
      </c>
      <c r="W59" s="47">
        <f t="shared" si="22"/>
        <v>2623.64</v>
      </c>
      <c r="X59" s="47">
        <f t="shared" si="23"/>
        <v>2127.6000000000004</v>
      </c>
      <c r="Y59" s="47">
        <f t="shared" si="27"/>
        <v>5108.3999999999996</v>
      </c>
      <c r="Z59" s="47">
        <f t="shared" si="26"/>
        <v>31248.760000000002</v>
      </c>
    </row>
    <row r="60" spans="1:26" s="120" customFormat="1" ht="45">
      <c r="A60" s="46">
        <f t="shared" si="8"/>
        <v>53</v>
      </c>
      <c r="B60" s="48" t="s">
        <v>134</v>
      </c>
      <c r="C60" s="48" t="s">
        <v>35</v>
      </c>
      <c r="D60" s="48" t="s">
        <v>52</v>
      </c>
      <c r="E60" s="48" t="s">
        <v>135</v>
      </c>
      <c r="F60" s="48" t="s">
        <v>112</v>
      </c>
      <c r="G60" s="47">
        <v>36000</v>
      </c>
      <c r="H60" s="47">
        <f t="shared" si="18"/>
        <v>33872.400000000001</v>
      </c>
      <c r="I60" s="47">
        <f t="shared" si="19"/>
        <v>1033.2</v>
      </c>
      <c r="J60" s="47">
        <f t="shared" si="20"/>
        <v>2555.9999999999995</v>
      </c>
      <c r="K60" s="106">
        <f t="shared" si="24"/>
        <v>396.00000000000006</v>
      </c>
      <c r="L60" s="47">
        <f t="shared" si="28"/>
        <v>1094.4000000000001</v>
      </c>
      <c r="M60" s="47">
        <f t="shared" si="13"/>
        <v>2552.4</v>
      </c>
      <c r="N60" s="47"/>
      <c r="O60" s="47">
        <f t="shared" si="21"/>
        <v>7632</v>
      </c>
      <c r="P60" s="47">
        <v>25</v>
      </c>
      <c r="Q60" s="110">
        <v>1000</v>
      </c>
      <c r="R60" s="47"/>
      <c r="S60" s="47"/>
      <c r="T60" s="47">
        <v>897.14</v>
      </c>
      <c r="U60" s="47">
        <v>200</v>
      </c>
      <c r="V60" s="47">
        <v>0</v>
      </c>
      <c r="W60" s="47">
        <f t="shared" si="22"/>
        <v>2122.14</v>
      </c>
      <c r="X60" s="47">
        <f t="shared" si="23"/>
        <v>2127.6000000000004</v>
      </c>
      <c r="Y60" s="47">
        <f t="shared" si="27"/>
        <v>5108.3999999999996</v>
      </c>
      <c r="Z60" s="47">
        <f t="shared" si="26"/>
        <v>31750.260000000002</v>
      </c>
    </row>
    <row r="61" spans="1:26" s="120" customFormat="1" ht="45">
      <c r="A61" s="46">
        <f t="shared" si="8"/>
        <v>54</v>
      </c>
      <c r="B61" s="48" t="s">
        <v>136</v>
      </c>
      <c r="C61" s="48" t="s">
        <v>31</v>
      </c>
      <c r="D61" s="48" t="s">
        <v>111</v>
      </c>
      <c r="E61" s="48" t="s">
        <v>137</v>
      </c>
      <c r="F61" s="48" t="s">
        <v>112</v>
      </c>
      <c r="G61" s="47">
        <v>25000</v>
      </c>
      <c r="H61" s="47">
        <f t="shared" si="18"/>
        <v>21602.720000000001</v>
      </c>
      <c r="I61" s="47">
        <f t="shared" si="19"/>
        <v>717.5</v>
      </c>
      <c r="J61" s="47">
        <f t="shared" si="20"/>
        <v>1774.9999999999998</v>
      </c>
      <c r="K61" s="106">
        <f t="shared" si="24"/>
        <v>275</v>
      </c>
      <c r="L61" s="47">
        <f t="shared" si="28"/>
        <v>760</v>
      </c>
      <c r="M61" s="47">
        <f t="shared" si="13"/>
        <v>1772.5000000000002</v>
      </c>
      <c r="N61" s="47">
        <f>+N7</f>
        <v>1919.78</v>
      </c>
      <c r="O61" s="47">
        <f t="shared" si="21"/>
        <v>7219.78</v>
      </c>
      <c r="P61" s="47">
        <v>25</v>
      </c>
      <c r="Q61" s="110">
        <v>1000</v>
      </c>
      <c r="R61" s="47"/>
      <c r="S61" s="47"/>
      <c r="T61" s="47"/>
      <c r="U61" s="47">
        <v>200</v>
      </c>
      <c r="V61" s="47">
        <v>0</v>
      </c>
      <c r="W61" s="47">
        <f t="shared" si="22"/>
        <v>1225</v>
      </c>
      <c r="X61" s="47">
        <f t="shared" si="23"/>
        <v>3397.2799999999997</v>
      </c>
      <c r="Y61" s="47">
        <f t="shared" si="27"/>
        <v>3547.5</v>
      </c>
      <c r="Z61" s="47">
        <f t="shared" si="26"/>
        <v>20377.72</v>
      </c>
    </row>
    <row r="62" spans="1:26" s="127" customFormat="1" ht="45">
      <c r="A62" s="46">
        <f t="shared" si="8"/>
        <v>55</v>
      </c>
      <c r="B62" s="48" t="s">
        <v>138</v>
      </c>
      <c r="C62" s="48" t="s">
        <v>35</v>
      </c>
      <c r="D62" s="48" t="s">
        <v>86</v>
      </c>
      <c r="E62" s="48" t="s">
        <v>139</v>
      </c>
      <c r="F62" s="48" t="s">
        <v>54</v>
      </c>
      <c r="G62" s="47">
        <v>30000</v>
      </c>
      <c r="H62" s="47">
        <f t="shared" si="18"/>
        <v>28227</v>
      </c>
      <c r="I62" s="47">
        <f t="shared" si="19"/>
        <v>861</v>
      </c>
      <c r="J62" s="47">
        <f t="shared" si="20"/>
        <v>2130</v>
      </c>
      <c r="K62" s="47">
        <f t="shared" si="24"/>
        <v>330.00000000000006</v>
      </c>
      <c r="L62" s="47">
        <f t="shared" si="28"/>
        <v>912</v>
      </c>
      <c r="M62" s="47">
        <f t="shared" si="13"/>
        <v>2127</v>
      </c>
      <c r="N62" s="47"/>
      <c r="O62" s="47">
        <f t="shared" si="21"/>
        <v>6360</v>
      </c>
      <c r="P62" s="47">
        <v>25</v>
      </c>
      <c r="Q62" s="110"/>
      <c r="R62" s="47"/>
      <c r="S62" s="47"/>
      <c r="T62" s="47"/>
      <c r="U62" s="47">
        <v>200</v>
      </c>
      <c r="V62" s="47">
        <v>0</v>
      </c>
      <c r="W62" s="47">
        <f t="shared" si="22"/>
        <v>225</v>
      </c>
      <c r="X62" s="47">
        <f t="shared" si="23"/>
        <v>1773</v>
      </c>
      <c r="Y62" s="47">
        <f t="shared" si="27"/>
        <v>4257</v>
      </c>
      <c r="Z62" s="47">
        <f t="shared" si="26"/>
        <v>28002</v>
      </c>
    </row>
    <row r="63" spans="1:26" s="127" customFormat="1" ht="30">
      <c r="A63" s="46">
        <f t="shared" si="8"/>
        <v>56</v>
      </c>
      <c r="B63" s="48" t="s">
        <v>140</v>
      </c>
      <c r="C63" s="48" t="s">
        <v>35</v>
      </c>
      <c r="D63" s="48" t="s">
        <v>52</v>
      </c>
      <c r="E63" s="48" t="s">
        <v>130</v>
      </c>
      <c r="F63" s="48" t="s">
        <v>112</v>
      </c>
      <c r="G63" s="47">
        <v>36000</v>
      </c>
      <c r="H63" s="47">
        <f t="shared" si="18"/>
        <v>33872.400000000001</v>
      </c>
      <c r="I63" s="47">
        <f t="shared" si="19"/>
        <v>1033.2</v>
      </c>
      <c r="J63" s="47">
        <f t="shared" si="20"/>
        <v>2555.9999999999995</v>
      </c>
      <c r="K63" s="106">
        <f t="shared" si="24"/>
        <v>396.00000000000006</v>
      </c>
      <c r="L63" s="47">
        <f t="shared" si="28"/>
        <v>1094.4000000000001</v>
      </c>
      <c r="M63" s="47">
        <f t="shared" si="13"/>
        <v>2552.4</v>
      </c>
      <c r="N63" s="47"/>
      <c r="O63" s="47">
        <f t="shared" si="21"/>
        <v>7632</v>
      </c>
      <c r="P63" s="47">
        <v>25</v>
      </c>
      <c r="Q63" s="110"/>
      <c r="R63" s="47"/>
      <c r="S63" s="47"/>
      <c r="T63" s="47">
        <v>797.28</v>
      </c>
      <c r="U63" s="47">
        <v>200</v>
      </c>
      <c r="V63" s="47">
        <v>0</v>
      </c>
      <c r="W63" s="47">
        <f t="shared" si="22"/>
        <v>1022.28</v>
      </c>
      <c r="X63" s="47">
        <f t="shared" si="23"/>
        <v>2127.6000000000004</v>
      </c>
      <c r="Y63" s="47">
        <f t="shared" si="27"/>
        <v>5108.3999999999996</v>
      </c>
      <c r="Z63" s="47">
        <f t="shared" si="26"/>
        <v>32850.120000000003</v>
      </c>
    </row>
    <row r="64" spans="1:26" s="51" customFormat="1" ht="30">
      <c r="A64" s="46">
        <f t="shared" si="8"/>
        <v>57</v>
      </c>
      <c r="B64" s="48" t="s">
        <v>141</v>
      </c>
      <c r="C64" s="48" t="s">
        <v>31</v>
      </c>
      <c r="D64" s="48" t="s">
        <v>58</v>
      </c>
      <c r="E64" s="48" t="s">
        <v>142</v>
      </c>
      <c r="F64" s="48" t="s">
        <v>40</v>
      </c>
      <c r="G64" s="47">
        <v>30000</v>
      </c>
      <c r="H64" s="47">
        <f t="shared" si="18"/>
        <v>28227</v>
      </c>
      <c r="I64" s="47">
        <f t="shared" si="19"/>
        <v>861</v>
      </c>
      <c r="J64" s="47">
        <f t="shared" si="20"/>
        <v>2130</v>
      </c>
      <c r="K64" s="106">
        <f t="shared" si="24"/>
        <v>330.00000000000006</v>
      </c>
      <c r="L64" s="47">
        <f t="shared" si="28"/>
        <v>912</v>
      </c>
      <c r="M64" s="47">
        <f t="shared" si="13"/>
        <v>2127</v>
      </c>
      <c r="N64" s="47"/>
      <c r="O64" s="47">
        <f t="shared" si="21"/>
        <v>6360</v>
      </c>
      <c r="P64" s="47">
        <v>25</v>
      </c>
      <c r="Q64" s="110">
        <v>4760.8</v>
      </c>
      <c r="R64" s="47"/>
      <c r="S64" s="47"/>
      <c r="T64" s="47"/>
      <c r="U64" s="47">
        <v>200</v>
      </c>
      <c r="V64" s="47">
        <v>0</v>
      </c>
      <c r="W64" s="47">
        <f t="shared" si="22"/>
        <v>4985.8</v>
      </c>
      <c r="X64" s="47">
        <f t="shared" si="23"/>
        <v>1773</v>
      </c>
      <c r="Y64" s="47">
        <f t="shared" si="27"/>
        <v>4257</v>
      </c>
      <c r="Z64" s="47">
        <f t="shared" si="26"/>
        <v>23241.200000000001</v>
      </c>
    </row>
    <row r="65" spans="1:26" s="51" customFormat="1" ht="30">
      <c r="A65" s="46">
        <f t="shared" si="8"/>
        <v>58</v>
      </c>
      <c r="B65" s="48" t="s">
        <v>202</v>
      </c>
      <c r="C65" s="48" t="s">
        <v>31</v>
      </c>
      <c r="D65" s="48" t="s">
        <v>58</v>
      </c>
      <c r="E65" s="48" t="s">
        <v>142</v>
      </c>
      <c r="F65" s="48" t="s">
        <v>40</v>
      </c>
      <c r="G65" s="47">
        <v>25000</v>
      </c>
      <c r="H65" s="47">
        <f t="shared" si="18"/>
        <v>23522.5</v>
      </c>
      <c r="I65" s="47">
        <f t="shared" si="19"/>
        <v>717.5</v>
      </c>
      <c r="J65" s="47">
        <f t="shared" si="20"/>
        <v>1774.9999999999998</v>
      </c>
      <c r="K65" s="106">
        <f t="shared" si="24"/>
        <v>275</v>
      </c>
      <c r="L65" s="47">
        <f t="shared" si="28"/>
        <v>760</v>
      </c>
      <c r="M65" s="47">
        <f t="shared" si="13"/>
        <v>1772.5000000000002</v>
      </c>
      <c r="N65" s="47"/>
      <c r="O65" s="47">
        <f t="shared" si="21"/>
        <v>5300</v>
      </c>
      <c r="P65" s="47">
        <v>25</v>
      </c>
      <c r="Q65" s="110">
        <v>0</v>
      </c>
      <c r="R65" s="47"/>
      <c r="S65" s="47"/>
      <c r="T65" s="47"/>
      <c r="U65" s="47">
        <v>200</v>
      </c>
      <c r="V65" s="47">
        <v>0</v>
      </c>
      <c r="W65" s="47">
        <f t="shared" si="22"/>
        <v>225</v>
      </c>
      <c r="X65" s="47">
        <f t="shared" si="23"/>
        <v>1477.5</v>
      </c>
      <c r="Y65" s="47">
        <f t="shared" si="27"/>
        <v>3547.5</v>
      </c>
      <c r="Z65" s="47">
        <f t="shared" si="26"/>
        <v>23297.5</v>
      </c>
    </row>
    <row r="66" spans="1:26" s="51" customFormat="1" ht="30">
      <c r="A66" s="46">
        <f t="shared" si="8"/>
        <v>59</v>
      </c>
      <c r="B66" s="48" t="s">
        <v>200</v>
      </c>
      <c r="C66" s="48" t="s">
        <v>31</v>
      </c>
      <c r="D66" s="48" t="s">
        <v>58</v>
      </c>
      <c r="E66" s="48" t="s">
        <v>137</v>
      </c>
      <c r="F66" s="48" t="s">
        <v>40</v>
      </c>
      <c r="G66" s="47">
        <v>25000</v>
      </c>
      <c r="H66" s="47">
        <f t="shared" si="18"/>
        <v>23522.5</v>
      </c>
      <c r="I66" s="47">
        <f t="shared" si="19"/>
        <v>717.5</v>
      </c>
      <c r="J66" s="47">
        <f t="shared" si="20"/>
        <v>1774.9999999999998</v>
      </c>
      <c r="K66" s="106">
        <f t="shared" si="24"/>
        <v>275</v>
      </c>
      <c r="L66" s="47">
        <f t="shared" si="28"/>
        <v>760</v>
      </c>
      <c r="M66" s="47">
        <f t="shared" si="13"/>
        <v>1772.5000000000002</v>
      </c>
      <c r="N66" s="47"/>
      <c r="O66" s="47">
        <f t="shared" si="21"/>
        <v>5300</v>
      </c>
      <c r="P66" s="47">
        <v>25</v>
      </c>
      <c r="Q66" s="110">
        <v>10000</v>
      </c>
      <c r="R66" s="47"/>
      <c r="S66" s="47"/>
      <c r="T66" s="47">
        <v>0</v>
      </c>
      <c r="U66" s="47">
        <v>200</v>
      </c>
      <c r="V66" s="47">
        <v>0</v>
      </c>
      <c r="W66" s="47">
        <f t="shared" si="22"/>
        <v>10225</v>
      </c>
      <c r="X66" s="47">
        <f t="shared" si="23"/>
        <v>1477.5</v>
      </c>
      <c r="Y66" s="47">
        <f t="shared" si="27"/>
        <v>3547.5</v>
      </c>
      <c r="Z66" s="47">
        <f t="shared" si="26"/>
        <v>13297.5</v>
      </c>
    </row>
    <row r="67" spans="1:26" s="53" customFormat="1" ht="30">
      <c r="A67" s="46">
        <f t="shared" si="8"/>
        <v>60</v>
      </c>
      <c r="B67" s="48" t="s">
        <v>143</v>
      </c>
      <c r="C67" s="48" t="s">
        <v>31</v>
      </c>
      <c r="D67" s="48" t="s">
        <v>92</v>
      </c>
      <c r="E67" s="48" t="s">
        <v>124</v>
      </c>
      <c r="F67" s="48" t="s">
        <v>112</v>
      </c>
      <c r="G67" s="47">
        <v>26000</v>
      </c>
      <c r="H67" s="47">
        <f t="shared" si="18"/>
        <v>24463.4</v>
      </c>
      <c r="I67" s="47">
        <f t="shared" si="19"/>
        <v>746.2</v>
      </c>
      <c r="J67" s="47">
        <f t="shared" si="20"/>
        <v>1845.9999999999998</v>
      </c>
      <c r="K67" s="106">
        <f t="shared" si="24"/>
        <v>286.00000000000006</v>
      </c>
      <c r="L67" s="47">
        <f t="shared" si="28"/>
        <v>790.4</v>
      </c>
      <c r="M67" s="47">
        <f t="shared" si="13"/>
        <v>1843.4</v>
      </c>
      <c r="N67" s="114"/>
      <c r="O67" s="47">
        <f t="shared" si="21"/>
        <v>5512</v>
      </c>
      <c r="P67" s="47">
        <v>25</v>
      </c>
      <c r="Q67" s="110">
        <v>1000</v>
      </c>
      <c r="R67" s="114"/>
      <c r="S67" s="114"/>
      <c r="T67" s="114"/>
      <c r="U67" s="47">
        <v>200</v>
      </c>
      <c r="V67" s="47">
        <v>0</v>
      </c>
      <c r="W67" s="47">
        <f t="shared" si="22"/>
        <v>1225</v>
      </c>
      <c r="X67" s="47">
        <f t="shared" si="23"/>
        <v>1536.6</v>
      </c>
      <c r="Y67" s="47">
        <f t="shared" si="27"/>
        <v>3689.3999999999996</v>
      </c>
      <c r="Z67" s="47">
        <f t="shared" si="26"/>
        <v>23238.400000000001</v>
      </c>
    </row>
    <row r="68" spans="1:26" s="123" customFormat="1" ht="45">
      <c r="A68" s="46">
        <f t="shared" si="8"/>
        <v>61</v>
      </c>
      <c r="B68" s="48" t="s">
        <v>144</v>
      </c>
      <c r="C68" s="48" t="s">
        <v>35</v>
      </c>
      <c r="D68" s="48" t="s">
        <v>145</v>
      </c>
      <c r="E68" s="48" t="s">
        <v>130</v>
      </c>
      <c r="F68" s="48" t="s">
        <v>112</v>
      </c>
      <c r="G68" s="47">
        <v>26000</v>
      </c>
      <c r="H68" s="47">
        <f t="shared" si="18"/>
        <v>24463.4</v>
      </c>
      <c r="I68" s="47">
        <f t="shared" si="19"/>
        <v>746.2</v>
      </c>
      <c r="J68" s="47">
        <f t="shared" si="20"/>
        <v>1845.9999999999998</v>
      </c>
      <c r="K68" s="106">
        <f t="shared" si="24"/>
        <v>286.00000000000006</v>
      </c>
      <c r="L68" s="47">
        <f t="shared" si="28"/>
        <v>790.4</v>
      </c>
      <c r="M68" s="47">
        <f t="shared" si="13"/>
        <v>1843.4</v>
      </c>
      <c r="N68" s="114"/>
      <c r="O68" s="47">
        <f t="shared" si="21"/>
        <v>5512</v>
      </c>
      <c r="P68" s="47">
        <v>25</v>
      </c>
      <c r="Q68" s="110">
        <v>3126.79</v>
      </c>
      <c r="R68" s="114"/>
      <c r="S68" s="114"/>
      <c r="T68" s="114">
        <v>90</v>
      </c>
      <c r="U68" s="47">
        <v>200</v>
      </c>
      <c r="V68" s="47">
        <v>0</v>
      </c>
      <c r="W68" s="47">
        <f t="shared" si="22"/>
        <v>3441.79</v>
      </c>
      <c r="X68" s="47">
        <f t="shared" si="23"/>
        <v>1536.6</v>
      </c>
      <c r="Y68" s="47">
        <f t="shared" si="27"/>
        <v>3689.3999999999996</v>
      </c>
      <c r="Z68" s="47">
        <f t="shared" si="26"/>
        <v>21021.61</v>
      </c>
    </row>
    <row r="69" spans="1:26" s="122" customFormat="1" ht="45">
      <c r="A69" s="46">
        <f t="shared" si="8"/>
        <v>62</v>
      </c>
      <c r="B69" s="48" t="s">
        <v>199</v>
      </c>
      <c r="C69" s="48" t="s">
        <v>35</v>
      </c>
      <c r="D69" s="48" t="s">
        <v>145</v>
      </c>
      <c r="E69" s="48" t="s">
        <v>130</v>
      </c>
      <c r="F69" s="48" t="s">
        <v>112</v>
      </c>
      <c r="G69" s="47">
        <v>26000</v>
      </c>
      <c r="H69" s="47">
        <f t="shared" si="18"/>
        <v>24463.4</v>
      </c>
      <c r="I69" s="47">
        <f t="shared" si="19"/>
        <v>746.2</v>
      </c>
      <c r="J69" s="47">
        <f t="shared" si="20"/>
        <v>1845.9999999999998</v>
      </c>
      <c r="K69" s="106">
        <f t="shared" si="24"/>
        <v>286.00000000000006</v>
      </c>
      <c r="L69" s="47">
        <f t="shared" si="28"/>
        <v>790.4</v>
      </c>
      <c r="M69" s="47">
        <f t="shared" si="13"/>
        <v>1843.4</v>
      </c>
      <c r="N69" s="114"/>
      <c r="O69" s="47">
        <f t="shared" si="21"/>
        <v>5512</v>
      </c>
      <c r="P69" s="47">
        <v>25</v>
      </c>
      <c r="Q69" s="110"/>
      <c r="R69" s="114"/>
      <c r="S69" s="114"/>
      <c r="T69" s="114">
        <v>172.59</v>
      </c>
      <c r="U69" s="47">
        <v>200</v>
      </c>
      <c r="V69" s="47">
        <v>0</v>
      </c>
      <c r="W69" s="47">
        <f t="shared" si="22"/>
        <v>397.59000000000003</v>
      </c>
      <c r="X69" s="47">
        <f t="shared" si="23"/>
        <v>1536.6</v>
      </c>
      <c r="Y69" s="47">
        <f t="shared" si="27"/>
        <v>3689.3999999999996</v>
      </c>
      <c r="Z69" s="47">
        <f t="shared" si="26"/>
        <v>24065.81</v>
      </c>
    </row>
    <row r="70" spans="1:26" s="53" customFormat="1" ht="75">
      <c r="A70" s="46">
        <f t="shared" si="8"/>
        <v>63</v>
      </c>
      <c r="B70" s="93" t="s">
        <v>146</v>
      </c>
      <c r="C70" s="93" t="s">
        <v>31</v>
      </c>
      <c r="D70" s="93" t="s">
        <v>58</v>
      </c>
      <c r="E70" s="48" t="s">
        <v>147</v>
      </c>
      <c r="F70" s="93" t="s">
        <v>112</v>
      </c>
      <c r="G70" s="111">
        <v>30000</v>
      </c>
      <c r="H70" s="111">
        <f t="shared" si="18"/>
        <v>28227</v>
      </c>
      <c r="I70" s="111">
        <f t="shared" si="19"/>
        <v>861</v>
      </c>
      <c r="J70" s="111">
        <f t="shared" si="20"/>
        <v>2130</v>
      </c>
      <c r="K70" s="106">
        <f t="shared" si="24"/>
        <v>330.00000000000006</v>
      </c>
      <c r="L70" s="111">
        <f t="shared" si="28"/>
        <v>912</v>
      </c>
      <c r="M70" s="47">
        <f t="shared" si="13"/>
        <v>2127</v>
      </c>
      <c r="N70" s="115"/>
      <c r="O70" s="111">
        <f t="shared" si="21"/>
        <v>6360</v>
      </c>
      <c r="P70" s="111">
        <v>25</v>
      </c>
      <c r="Q70" s="112"/>
      <c r="R70" s="115"/>
      <c r="S70" s="115"/>
      <c r="T70" s="115"/>
      <c r="U70" s="111">
        <v>200</v>
      </c>
      <c r="V70" s="111">
        <v>0</v>
      </c>
      <c r="W70" s="111">
        <f t="shared" si="22"/>
        <v>225</v>
      </c>
      <c r="X70" s="111">
        <f t="shared" si="23"/>
        <v>1773</v>
      </c>
      <c r="Y70" s="111">
        <f t="shared" si="27"/>
        <v>4257</v>
      </c>
      <c r="Z70" s="111">
        <f t="shared" si="26"/>
        <v>28002</v>
      </c>
    </row>
    <row r="71" spans="1:26" s="128" customFormat="1" ht="45">
      <c r="A71" s="46">
        <f t="shared" si="8"/>
        <v>64</v>
      </c>
      <c r="B71" s="48" t="s">
        <v>148</v>
      </c>
      <c r="C71" s="48" t="s">
        <v>35</v>
      </c>
      <c r="D71" s="48" t="s">
        <v>32</v>
      </c>
      <c r="E71" s="48" t="s">
        <v>149</v>
      </c>
      <c r="F71" s="48" t="s">
        <v>112</v>
      </c>
      <c r="G71" s="47">
        <v>46000</v>
      </c>
      <c r="H71" s="47">
        <f t="shared" ref="H71:H99" si="29">+G71-(I71+L71+N71)</f>
        <v>43281.4</v>
      </c>
      <c r="I71" s="47">
        <f t="shared" ref="I71:I98" si="30">IF(G71&lt;=374040,G71*2.87%,9334.68)</f>
        <v>1320.2</v>
      </c>
      <c r="J71" s="47">
        <f t="shared" ref="J71:J98" si="31">IF(G71&lt;=374040,G71*7.1%,23092.75)</f>
        <v>3265.9999999999995</v>
      </c>
      <c r="K71" s="106">
        <f t="shared" si="24"/>
        <v>506.00000000000006</v>
      </c>
      <c r="L71" s="47">
        <f t="shared" si="28"/>
        <v>1398.4</v>
      </c>
      <c r="M71" s="47">
        <f t="shared" si="13"/>
        <v>3261.4</v>
      </c>
      <c r="N71" s="114"/>
      <c r="O71" s="47">
        <f t="shared" ref="O71:O99" si="32">+I71+J71+K71+L71+M71+N71</f>
        <v>9752</v>
      </c>
      <c r="P71" s="47">
        <v>25</v>
      </c>
      <c r="Q71" s="110"/>
      <c r="R71" s="114"/>
      <c r="S71" s="114"/>
      <c r="T71" s="114">
        <v>539.89</v>
      </c>
      <c r="U71" s="47">
        <v>200</v>
      </c>
      <c r="V71" s="47">
        <v>0</v>
      </c>
      <c r="W71" s="47">
        <f t="shared" ref="W71:W103" si="33">P71+Q71+R71+T71+U71+V71</f>
        <v>764.89</v>
      </c>
      <c r="X71" s="47">
        <f t="shared" ref="X71:X106" si="34">+I71+L71+N71</f>
        <v>2718.6000000000004</v>
      </c>
      <c r="Y71" s="47">
        <f t="shared" si="27"/>
        <v>6527.4</v>
      </c>
      <c r="Z71" s="47">
        <f t="shared" si="26"/>
        <v>42516.51</v>
      </c>
    </row>
    <row r="72" spans="1:26" s="121" customFormat="1" ht="30">
      <c r="A72" s="46">
        <f t="shared" si="8"/>
        <v>65</v>
      </c>
      <c r="B72" s="48" t="s">
        <v>150</v>
      </c>
      <c r="C72" s="48" t="s">
        <v>31</v>
      </c>
      <c r="D72" s="48" t="s">
        <v>58</v>
      </c>
      <c r="E72" s="94" t="s">
        <v>105</v>
      </c>
      <c r="F72" s="48" t="s">
        <v>112</v>
      </c>
      <c r="G72" s="47">
        <v>46000</v>
      </c>
      <c r="H72" s="47">
        <f t="shared" si="29"/>
        <v>41361.620000000003</v>
      </c>
      <c r="I72" s="47">
        <f t="shared" si="30"/>
        <v>1320.2</v>
      </c>
      <c r="J72" s="47">
        <f t="shared" si="31"/>
        <v>3265.9999999999995</v>
      </c>
      <c r="K72" s="106">
        <f t="shared" ref="K72:K98" si="35">IF(G72&lt;=74808,G72*1.1%,953.69)</f>
        <v>506.00000000000006</v>
      </c>
      <c r="L72" s="47">
        <f t="shared" si="28"/>
        <v>1398.4</v>
      </c>
      <c r="M72" s="47">
        <f t="shared" si="13"/>
        <v>3261.4</v>
      </c>
      <c r="N72" s="47">
        <f>+N7</f>
        <v>1919.78</v>
      </c>
      <c r="O72" s="47">
        <f t="shared" si="32"/>
        <v>11671.78</v>
      </c>
      <c r="P72" s="47">
        <v>25</v>
      </c>
      <c r="Q72" s="110">
        <v>1000</v>
      </c>
      <c r="R72" s="47"/>
      <c r="S72" s="47"/>
      <c r="T72" s="47">
        <v>1072.52</v>
      </c>
      <c r="U72" s="47">
        <v>200</v>
      </c>
      <c r="V72" s="47">
        <v>0</v>
      </c>
      <c r="W72" s="47">
        <f t="shared" si="33"/>
        <v>2297.52</v>
      </c>
      <c r="X72" s="47">
        <f t="shared" si="34"/>
        <v>4638.38</v>
      </c>
      <c r="Y72" s="47">
        <f t="shared" si="27"/>
        <v>6527.4</v>
      </c>
      <c r="Z72" s="47">
        <f t="shared" si="26"/>
        <v>39064.1</v>
      </c>
    </row>
    <row r="73" spans="1:26" s="51" customFormat="1" ht="45">
      <c r="A73" s="46">
        <f t="shared" si="8"/>
        <v>66</v>
      </c>
      <c r="B73" s="48" t="s">
        <v>151</v>
      </c>
      <c r="C73" s="48" t="s">
        <v>35</v>
      </c>
      <c r="D73" s="48" t="s">
        <v>152</v>
      </c>
      <c r="E73" s="48" t="s">
        <v>135</v>
      </c>
      <c r="F73" s="48" t="s">
        <v>112</v>
      </c>
      <c r="G73" s="47">
        <v>30000</v>
      </c>
      <c r="H73" s="47">
        <f t="shared" si="29"/>
        <v>28227</v>
      </c>
      <c r="I73" s="47">
        <f t="shared" si="30"/>
        <v>861</v>
      </c>
      <c r="J73" s="47">
        <f t="shared" si="31"/>
        <v>2130</v>
      </c>
      <c r="K73" s="106">
        <f t="shared" si="35"/>
        <v>330.00000000000006</v>
      </c>
      <c r="L73" s="47">
        <f t="shared" si="28"/>
        <v>912</v>
      </c>
      <c r="M73" s="47">
        <f t="shared" si="13"/>
        <v>2127</v>
      </c>
      <c r="N73" s="47"/>
      <c r="O73" s="47">
        <f t="shared" si="32"/>
        <v>6360</v>
      </c>
      <c r="P73" s="47">
        <v>25</v>
      </c>
      <c r="Q73" s="110">
        <v>500</v>
      </c>
      <c r="R73" s="47"/>
      <c r="S73" s="47"/>
      <c r="T73" s="47"/>
      <c r="U73" s="47">
        <v>200</v>
      </c>
      <c r="V73" s="47">
        <v>0</v>
      </c>
      <c r="W73" s="47">
        <f t="shared" si="33"/>
        <v>725</v>
      </c>
      <c r="X73" s="47">
        <f t="shared" si="34"/>
        <v>1773</v>
      </c>
      <c r="Y73" s="47">
        <f t="shared" si="27"/>
        <v>4257</v>
      </c>
      <c r="Z73" s="47">
        <f t="shared" si="26"/>
        <v>27502</v>
      </c>
    </row>
    <row r="74" spans="1:26" s="120" customFormat="1" ht="30" customHeight="1">
      <c r="A74" s="46">
        <f t="shared" ref="A74:A106" si="36">+A73+1</f>
        <v>67</v>
      </c>
      <c r="B74" s="48" t="s">
        <v>153</v>
      </c>
      <c r="C74" s="48" t="s">
        <v>35</v>
      </c>
      <c r="D74" s="48" t="s">
        <v>52</v>
      </c>
      <c r="E74" s="48" t="s">
        <v>154</v>
      </c>
      <c r="F74" s="48" t="s">
        <v>112</v>
      </c>
      <c r="G74" s="47">
        <v>36000</v>
      </c>
      <c r="H74" s="47">
        <f t="shared" si="29"/>
        <v>33872.400000000001</v>
      </c>
      <c r="I74" s="47">
        <f t="shared" si="30"/>
        <v>1033.2</v>
      </c>
      <c r="J74" s="47">
        <f t="shared" si="31"/>
        <v>2555.9999999999995</v>
      </c>
      <c r="K74" s="106">
        <f t="shared" si="35"/>
        <v>396.00000000000006</v>
      </c>
      <c r="L74" s="47">
        <f t="shared" si="28"/>
        <v>1094.4000000000001</v>
      </c>
      <c r="M74" s="47">
        <f t="shared" ref="M74:M106" si="37">IF(G74&lt;=193525,G74*7.09%,11530.11)</f>
        <v>2552.4</v>
      </c>
      <c r="N74" s="47"/>
      <c r="O74" s="47">
        <f t="shared" si="32"/>
        <v>7632</v>
      </c>
      <c r="P74" s="47">
        <v>25</v>
      </c>
      <c r="Q74" s="110">
        <v>1000</v>
      </c>
      <c r="R74" s="47"/>
      <c r="S74" s="47"/>
      <c r="T74" s="47">
        <v>1195.92</v>
      </c>
      <c r="U74" s="47">
        <v>200</v>
      </c>
      <c r="V74" s="47">
        <f t="shared" ref="V74:V97" si="38">IF((H74*12)&gt;867123.01,(79776+(((H74*12)-867123.01)*0.25))/12,IF((H74*12)&gt;624329.01,(31216+(((H74*12)-624329.01)*0.2))/12,IF((H74*12)&gt;416220.01,(((H74*12)-416220.01)*0.15)/12,0)))</f>
        <v>0</v>
      </c>
      <c r="W74" s="47">
        <f t="shared" si="33"/>
        <v>2420.92</v>
      </c>
      <c r="X74" s="47">
        <f t="shared" si="34"/>
        <v>2127.6000000000004</v>
      </c>
      <c r="Y74" s="47">
        <f t="shared" si="27"/>
        <v>5108.3999999999996</v>
      </c>
      <c r="Z74" s="47">
        <f t="shared" si="26"/>
        <v>31451.48</v>
      </c>
    </row>
    <row r="75" spans="1:26" s="52" customFormat="1" ht="45">
      <c r="A75" s="46">
        <f t="shared" si="36"/>
        <v>68</v>
      </c>
      <c r="B75" s="48" t="s">
        <v>155</v>
      </c>
      <c r="C75" s="48" t="s">
        <v>35</v>
      </c>
      <c r="D75" s="48" t="s">
        <v>111</v>
      </c>
      <c r="E75" s="48" t="s">
        <v>154</v>
      </c>
      <c r="F75" s="48" t="s">
        <v>112</v>
      </c>
      <c r="G75" s="47">
        <v>15000</v>
      </c>
      <c r="H75" s="47">
        <f t="shared" si="29"/>
        <v>14113.5</v>
      </c>
      <c r="I75" s="47">
        <f t="shared" si="30"/>
        <v>430.5</v>
      </c>
      <c r="J75" s="47">
        <f t="shared" si="31"/>
        <v>1065</v>
      </c>
      <c r="K75" s="106">
        <f t="shared" si="35"/>
        <v>165.00000000000003</v>
      </c>
      <c r="L75" s="47">
        <f t="shared" si="28"/>
        <v>456</v>
      </c>
      <c r="M75" s="47">
        <f t="shared" si="37"/>
        <v>1063.5</v>
      </c>
      <c r="N75" s="47"/>
      <c r="O75" s="47">
        <f t="shared" si="32"/>
        <v>3180</v>
      </c>
      <c r="P75" s="47">
        <v>25</v>
      </c>
      <c r="Q75" s="110"/>
      <c r="R75" s="47"/>
      <c r="S75" s="47"/>
      <c r="T75" s="47"/>
      <c r="U75" s="47">
        <v>200</v>
      </c>
      <c r="V75" s="47">
        <f t="shared" si="38"/>
        <v>0</v>
      </c>
      <c r="W75" s="47">
        <f t="shared" si="33"/>
        <v>225</v>
      </c>
      <c r="X75" s="47">
        <f t="shared" si="34"/>
        <v>886.5</v>
      </c>
      <c r="Y75" s="47">
        <f t="shared" si="27"/>
        <v>2128.5</v>
      </c>
      <c r="Z75" s="47">
        <f t="shared" ref="Z75:Z106" si="39">+G75-(W75+X75)</f>
        <v>13888.5</v>
      </c>
    </row>
    <row r="76" spans="1:26" s="52" customFormat="1" ht="45">
      <c r="A76" s="46">
        <f t="shared" si="36"/>
        <v>69</v>
      </c>
      <c r="B76" s="48" t="s">
        <v>156</v>
      </c>
      <c r="C76" s="48" t="s">
        <v>35</v>
      </c>
      <c r="D76" s="48" t="s">
        <v>111</v>
      </c>
      <c r="E76" s="48" t="s">
        <v>154</v>
      </c>
      <c r="F76" s="48" t="s">
        <v>112</v>
      </c>
      <c r="G76" s="47">
        <v>15000</v>
      </c>
      <c r="H76" s="47">
        <f t="shared" si="29"/>
        <v>14113.5</v>
      </c>
      <c r="I76" s="47">
        <f t="shared" si="30"/>
        <v>430.5</v>
      </c>
      <c r="J76" s="47">
        <f t="shared" si="31"/>
        <v>1065</v>
      </c>
      <c r="K76" s="106">
        <f t="shared" si="35"/>
        <v>165.00000000000003</v>
      </c>
      <c r="L76" s="47">
        <f t="shared" si="28"/>
        <v>456</v>
      </c>
      <c r="M76" s="47">
        <f t="shared" si="37"/>
        <v>1063.5</v>
      </c>
      <c r="N76" s="47"/>
      <c r="O76" s="47">
        <f t="shared" si="32"/>
        <v>3180</v>
      </c>
      <c r="P76" s="47">
        <v>25</v>
      </c>
      <c r="Q76" s="110"/>
      <c r="R76" s="47"/>
      <c r="S76" s="47"/>
      <c r="T76" s="47"/>
      <c r="U76" s="47">
        <v>200</v>
      </c>
      <c r="V76" s="47">
        <f t="shared" si="38"/>
        <v>0</v>
      </c>
      <c r="W76" s="47">
        <f t="shared" si="33"/>
        <v>225</v>
      </c>
      <c r="X76" s="47">
        <f t="shared" si="34"/>
        <v>886.5</v>
      </c>
      <c r="Y76" s="47">
        <f t="shared" si="27"/>
        <v>2128.5</v>
      </c>
      <c r="Z76" s="47">
        <f t="shared" si="39"/>
        <v>13888.5</v>
      </c>
    </row>
    <row r="77" spans="1:26" s="120" customFormat="1" ht="45">
      <c r="A77" s="46">
        <f t="shared" si="36"/>
        <v>70</v>
      </c>
      <c r="B77" s="48" t="s">
        <v>157</v>
      </c>
      <c r="C77" s="48" t="s">
        <v>35</v>
      </c>
      <c r="D77" s="48" t="s">
        <v>111</v>
      </c>
      <c r="E77" s="48" t="s">
        <v>154</v>
      </c>
      <c r="F77" s="48" t="s">
        <v>112</v>
      </c>
      <c r="G77" s="47">
        <v>25000</v>
      </c>
      <c r="H77" s="47">
        <f t="shared" si="29"/>
        <v>23522.5</v>
      </c>
      <c r="I77" s="47">
        <f t="shared" si="30"/>
        <v>717.5</v>
      </c>
      <c r="J77" s="47">
        <f t="shared" si="31"/>
        <v>1774.9999999999998</v>
      </c>
      <c r="K77" s="106">
        <f t="shared" si="35"/>
        <v>275</v>
      </c>
      <c r="L77" s="47">
        <f t="shared" si="28"/>
        <v>760</v>
      </c>
      <c r="M77" s="47">
        <f t="shared" si="37"/>
        <v>1772.5000000000002</v>
      </c>
      <c r="N77" s="47"/>
      <c r="O77" s="47">
        <f t="shared" si="32"/>
        <v>5300</v>
      </c>
      <c r="P77" s="47">
        <v>25</v>
      </c>
      <c r="Q77" s="110"/>
      <c r="R77" s="47"/>
      <c r="S77" s="47"/>
      <c r="T77" s="47"/>
      <c r="U77" s="47">
        <v>200</v>
      </c>
      <c r="V77" s="47">
        <f t="shared" si="38"/>
        <v>0</v>
      </c>
      <c r="W77" s="47">
        <f t="shared" si="33"/>
        <v>225</v>
      </c>
      <c r="X77" s="47">
        <f t="shared" si="34"/>
        <v>1477.5</v>
      </c>
      <c r="Y77" s="47">
        <f t="shared" si="27"/>
        <v>3547.5</v>
      </c>
      <c r="Z77" s="47">
        <f t="shared" si="39"/>
        <v>23297.5</v>
      </c>
    </row>
    <row r="78" spans="1:26" s="121" customFormat="1" ht="30">
      <c r="A78" s="46">
        <f t="shared" si="36"/>
        <v>71</v>
      </c>
      <c r="B78" s="48" t="s">
        <v>158</v>
      </c>
      <c r="C78" s="48" t="s">
        <v>35</v>
      </c>
      <c r="D78" s="48" t="s">
        <v>58</v>
      </c>
      <c r="E78" s="48" t="s">
        <v>154</v>
      </c>
      <c r="F78" s="48" t="s">
        <v>112</v>
      </c>
      <c r="G78" s="47">
        <v>25000</v>
      </c>
      <c r="H78" s="47">
        <f t="shared" si="29"/>
        <v>23522.5</v>
      </c>
      <c r="I78" s="47">
        <f t="shared" si="30"/>
        <v>717.5</v>
      </c>
      <c r="J78" s="47">
        <f t="shared" si="31"/>
        <v>1774.9999999999998</v>
      </c>
      <c r="K78" s="106">
        <f t="shared" si="35"/>
        <v>275</v>
      </c>
      <c r="L78" s="47">
        <f t="shared" si="28"/>
        <v>760</v>
      </c>
      <c r="M78" s="47">
        <f t="shared" si="37"/>
        <v>1772.5000000000002</v>
      </c>
      <c r="N78" s="47"/>
      <c r="O78" s="47">
        <f t="shared" si="32"/>
        <v>5300</v>
      </c>
      <c r="P78" s="47">
        <v>25</v>
      </c>
      <c r="Q78" s="110">
        <v>500</v>
      </c>
      <c r="R78" s="47"/>
      <c r="S78" s="47"/>
      <c r="T78" s="47"/>
      <c r="U78" s="47">
        <v>200</v>
      </c>
      <c r="V78" s="47">
        <f t="shared" si="38"/>
        <v>0</v>
      </c>
      <c r="W78" s="47">
        <f t="shared" si="33"/>
        <v>725</v>
      </c>
      <c r="X78" s="47">
        <f t="shared" si="34"/>
        <v>1477.5</v>
      </c>
      <c r="Y78" s="47">
        <f t="shared" si="27"/>
        <v>3547.5</v>
      </c>
      <c r="Z78" s="47">
        <f t="shared" si="39"/>
        <v>22797.5</v>
      </c>
    </row>
    <row r="79" spans="1:26" s="120" customFormat="1" ht="30">
      <c r="A79" s="46">
        <f t="shared" si="36"/>
        <v>72</v>
      </c>
      <c r="B79" s="48" t="s">
        <v>159</v>
      </c>
      <c r="C79" s="48" t="s">
        <v>31</v>
      </c>
      <c r="D79" s="48" t="s">
        <v>52</v>
      </c>
      <c r="E79" s="48" t="s">
        <v>101</v>
      </c>
      <c r="F79" s="48" t="s">
        <v>112</v>
      </c>
      <c r="G79" s="47">
        <v>30000</v>
      </c>
      <c r="H79" s="47">
        <f t="shared" si="29"/>
        <v>26307.22</v>
      </c>
      <c r="I79" s="47">
        <f t="shared" si="30"/>
        <v>861</v>
      </c>
      <c r="J79" s="47">
        <f t="shared" si="31"/>
        <v>2130</v>
      </c>
      <c r="K79" s="106">
        <f t="shared" si="35"/>
        <v>330.00000000000006</v>
      </c>
      <c r="L79" s="47">
        <f t="shared" si="28"/>
        <v>912</v>
      </c>
      <c r="M79" s="47">
        <f t="shared" si="37"/>
        <v>2127</v>
      </c>
      <c r="N79" s="47">
        <f>+N7*1</f>
        <v>1919.78</v>
      </c>
      <c r="O79" s="47">
        <f t="shared" si="32"/>
        <v>8279.7800000000007</v>
      </c>
      <c r="P79" s="47">
        <v>25</v>
      </c>
      <c r="Q79" s="110">
        <v>500</v>
      </c>
      <c r="R79" s="47"/>
      <c r="S79" s="47"/>
      <c r="T79" s="47">
        <v>1594.56</v>
      </c>
      <c r="U79" s="47">
        <v>200</v>
      </c>
      <c r="V79" s="47">
        <f t="shared" si="38"/>
        <v>0</v>
      </c>
      <c r="W79" s="47">
        <f t="shared" si="33"/>
        <v>2319.56</v>
      </c>
      <c r="X79" s="47">
        <f t="shared" si="34"/>
        <v>3692.7799999999997</v>
      </c>
      <c r="Y79" s="47">
        <f t="shared" si="27"/>
        <v>4257</v>
      </c>
      <c r="Z79" s="47">
        <f t="shared" si="39"/>
        <v>23987.66</v>
      </c>
    </row>
    <row r="80" spans="1:26" s="120" customFormat="1" ht="45">
      <c r="A80" s="46">
        <f t="shared" si="36"/>
        <v>73</v>
      </c>
      <c r="B80" s="48" t="s">
        <v>161</v>
      </c>
      <c r="C80" s="48" t="s">
        <v>31</v>
      </c>
      <c r="D80" s="48" t="s">
        <v>58</v>
      </c>
      <c r="E80" s="48" t="s">
        <v>201</v>
      </c>
      <c r="F80" s="48" t="s">
        <v>112</v>
      </c>
      <c r="G80" s="47">
        <v>36000</v>
      </c>
      <c r="H80" s="47">
        <f t="shared" si="29"/>
        <v>33872.400000000001</v>
      </c>
      <c r="I80" s="47">
        <f t="shared" si="30"/>
        <v>1033.2</v>
      </c>
      <c r="J80" s="47">
        <f t="shared" si="31"/>
        <v>2555.9999999999995</v>
      </c>
      <c r="K80" s="106">
        <f t="shared" si="35"/>
        <v>396.00000000000006</v>
      </c>
      <c r="L80" s="47">
        <f t="shared" si="28"/>
        <v>1094.4000000000001</v>
      </c>
      <c r="M80" s="47">
        <f t="shared" si="37"/>
        <v>2552.4</v>
      </c>
      <c r="N80" s="47"/>
      <c r="O80" s="47">
        <f t="shared" si="32"/>
        <v>7632</v>
      </c>
      <c r="P80" s="47">
        <v>25</v>
      </c>
      <c r="Q80" s="110"/>
      <c r="R80" s="47"/>
      <c r="S80" s="47"/>
      <c r="T80" s="47"/>
      <c r="U80" s="47">
        <v>200</v>
      </c>
      <c r="V80" s="47">
        <f t="shared" si="38"/>
        <v>0</v>
      </c>
      <c r="W80" s="47">
        <f t="shared" si="33"/>
        <v>225</v>
      </c>
      <c r="X80" s="47">
        <f t="shared" si="34"/>
        <v>2127.6000000000004</v>
      </c>
      <c r="Y80" s="47">
        <f t="shared" si="27"/>
        <v>5108.3999999999996</v>
      </c>
      <c r="Z80" s="47">
        <f t="shared" si="39"/>
        <v>33647.4</v>
      </c>
    </row>
    <row r="81" spans="1:26" s="120" customFormat="1" ht="30" customHeight="1">
      <c r="A81" s="46">
        <f t="shared" si="36"/>
        <v>74</v>
      </c>
      <c r="B81" s="48" t="s">
        <v>182</v>
      </c>
      <c r="C81" s="48" t="s">
        <v>31</v>
      </c>
      <c r="D81" s="48" t="s">
        <v>52</v>
      </c>
      <c r="E81" s="48" t="s">
        <v>160</v>
      </c>
      <c r="F81" s="48" t="s">
        <v>112</v>
      </c>
      <c r="G81" s="47">
        <v>45000</v>
      </c>
      <c r="H81" s="47">
        <f t="shared" si="29"/>
        <v>42340.5</v>
      </c>
      <c r="I81" s="47">
        <f t="shared" si="30"/>
        <v>1291.5</v>
      </c>
      <c r="J81" s="47">
        <f t="shared" si="31"/>
        <v>3194.9999999999995</v>
      </c>
      <c r="K81" s="106">
        <f t="shared" si="35"/>
        <v>495.00000000000006</v>
      </c>
      <c r="L81" s="47">
        <f t="shared" si="28"/>
        <v>1368</v>
      </c>
      <c r="M81" s="47">
        <f t="shared" si="37"/>
        <v>3190.5</v>
      </c>
      <c r="N81" s="47"/>
      <c r="O81" s="47">
        <f t="shared" si="32"/>
        <v>9540</v>
      </c>
      <c r="P81" s="47">
        <v>25</v>
      </c>
      <c r="Q81" s="110"/>
      <c r="R81" s="47"/>
      <c r="S81" s="47"/>
      <c r="T81" s="47">
        <v>39.99</v>
      </c>
      <c r="U81" s="47">
        <v>200</v>
      </c>
      <c r="V81" s="47">
        <v>0</v>
      </c>
      <c r="W81" s="47">
        <f t="shared" si="33"/>
        <v>264.99</v>
      </c>
      <c r="X81" s="47">
        <f t="shared" si="34"/>
        <v>2659.5</v>
      </c>
      <c r="Y81" s="47">
        <f t="shared" si="27"/>
        <v>6385.5</v>
      </c>
      <c r="Z81" s="47">
        <f t="shared" si="39"/>
        <v>42075.51</v>
      </c>
    </row>
    <row r="82" spans="1:26" s="120" customFormat="1" ht="30" customHeight="1">
      <c r="A82" s="46">
        <f t="shared" si="36"/>
        <v>75</v>
      </c>
      <c r="B82" s="48" t="s">
        <v>162</v>
      </c>
      <c r="C82" s="48" t="s">
        <v>31</v>
      </c>
      <c r="D82" s="48" t="s">
        <v>52</v>
      </c>
      <c r="E82" s="48" t="s">
        <v>163</v>
      </c>
      <c r="F82" s="48" t="s">
        <v>112</v>
      </c>
      <c r="G82" s="47">
        <v>35000</v>
      </c>
      <c r="H82" s="47">
        <f t="shared" si="29"/>
        <v>32931.5</v>
      </c>
      <c r="I82" s="47">
        <f t="shared" si="30"/>
        <v>1004.5</v>
      </c>
      <c r="J82" s="47">
        <f t="shared" si="31"/>
        <v>2485</v>
      </c>
      <c r="K82" s="106">
        <f t="shared" si="35"/>
        <v>385.00000000000006</v>
      </c>
      <c r="L82" s="47">
        <f t="shared" si="28"/>
        <v>1064</v>
      </c>
      <c r="M82" s="47">
        <f t="shared" si="37"/>
        <v>2481.5</v>
      </c>
      <c r="N82" s="47"/>
      <c r="O82" s="47">
        <f t="shared" si="32"/>
        <v>7420</v>
      </c>
      <c r="P82" s="47">
        <v>25</v>
      </c>
      <c r="Q82" s="110">
        <v>18073.28</v>
      </c>
      <c r="R82" s="47"/>
      <c r="S82" s="47"/>
      <c r="T82" s="116">
        <v>2116.91</v>
      </c>
      <c r="U82" s="47">
        <v>200</v>
      </c>
      <c r="V82" s="47">
        <f t="shared" si="38"/>
        <v>0</v>
      </c>
      <c r="W82" s="47">
        <f t="shared" si="33"/>
        <v>20415.189999999999</v>
      </c>
      <c r="X82" s="47">
        <f t="shared" si="34"/>
        <v>2068.5</v>
      </c>
      <c r="Y82" s="47">
        <f t="shared" si="27"/>
        <v>4966.5</v>
      </c>
      <c r="Z82" s="47">
        <f t="shared" si="39"/>
        <v>12516.310000000001</v>
      </c>
    </row>
    <row r="83" spans="1:26" s="51" customFormat="1" ht="45">
      <c r="A83" s="46">
        <f t="shared" si="36"/>
        <v>76</v>
      </c>
      <c r="B83" s="48" t="s">
        <v>164</v>
      </c>
      <c r="C83" s="48" t="s">
        <v>31</v>
      </c>
      <c r="D83" s="104" t="s">
        <v>37</v>
      </c>
      <c r="E83" s="48" t="s">
        <v>201</v>
      </c>
      <c r="F83" s="48" t="s">
        <v>112</v>
      </c>
      <c r="G83" s="47">
        <v>36000</v>
      </c>
      <c r="H83" s="47">
        <f t="shared" si="29"/>
        <v>33872.400000000001</v>
      </c>
      <c r="I83" s="47">
        <f t="shared" si="30"/>
        <v>1033.2</v>
      </c>
      <c r="J83" s="47">
        <f t="shared" si="31"/>
        <v>2555.9999999999995</v>
      </c>
      <c r="K83" s="106">
        <f t="shared" si="35"/>
        <v>396.00000000000006</v>
      </c>
      <c r="L83" s="47">
        <f t="shared" si="28"/>
        <v>1094.4000000000001</v>
      </c>
      <c r="M83" s="47">
        <f t="shared" si="37"/>
        <v>2552.4</v>
      </c>
      <c r="N83" s="47"/>
      <c r="O83" s="47">
        <f t="shared" si="32"/>
        <v>7632</v>
      </c>
      <c r="P83" s="47">
        <v>25</v>
      </c>
      <c r="Q83" s="110"/>
      <c r="R83" s="47"/>
      <c r="S83" s="47"/>
      <c r="T83" s="47"/>
      <c r="U83" s="47">
        <v>200</v>
      </c>
      <c r="V83" s="47">
        <f t="shared" si="38"/>
        <v>0</v>
      </c>
      <c r="W83" s="47">
        <f t="shared" si="33"/>
        <v>225</v>
      </c>
      <c r="X83" s="47">
        <f t="shared" si="34"/>
        <v>2127.6000000000004</v>
      </c>
      <c r="Y83" s="47">
        <f t="shared" si="27"/>
        <v>5108.3999999999996</v>
      </c>
      <c r="Z83" s="47">
        <f t="shared" si="39"/>
        <v>33647.4</v>
      </c>
    </row>
    <row r="84" spans="1:26" s="51" customFormat="1" ht="45">
      <c r="A84" s="46">
        <f t="shared" si="36"/>
        <v>77</v>
      </c>
      <c r="B84" s="48" t="s">
        <v>184</v>
      </c>
      <c r="C84" s="48" t="s">
        <v>31</v>
      </c>
      <c r="D84" s="48" t="s">
        <v>52</v>
      </c>
      <c r="E84" s="48" t="s">
        <v>192</v>
      </c>
      <c r="F84" s="48" t="s">
        <v>40</v>
      </c>
      <c r="G84" s="47">
        <v>36000</v>
      </c>
      <c r="H84" s="47">
        <f t="shared" si="29"/>
        <v>33872.400000000001</v>
      </c>
      <c r="I84" s="47">
        <f t="shared" si="30"/>
        <v>1033.2</v>
      </c>
      <c r="J84" s="47">
        <f t="shared" si="31"/>
        <v>2555.9999999999995</v>
      </c>
      <c r="K84" s="106">
        <f t="shared" si="35"/>
        <v>396.00000000000006</v>
      </c>
      <c r="L84" s="47">
        <f t="shared" si="28"/>
        <v>1094.4000000000001</v>
      </c>
      <c r="M84" s="47">
        <f t="shared" si="37"/>
        <v>2552.4</v>
      </c>
      <c r="N84" s="47"/>
      <c r="O84" s="47">
        <f t="shared" si="32"/>
        <v>7632</v>
      </c>
      <c r="P84" s="47">
        <v>25</v>
      </c>
      <c r="Q84" s="110"/>
      <c r="R84" s="47"/>
      <c r="S84" s="47"/>
      <c r="T84" s="47">
        <v>0</v>
      </c>
      <c r="U84" s="47">
        <v>200</v>
      </c>
      <c r="V84" s="47">
        <f t="shared" si="38"/>
        <v>0</v>
      </c>
      <c r="W84" s="47">
        <f t="shared" si="33"/>
        <v>225</v>
      </c>
      <c r="X84" s="47">
        <f t="shared" si="34"/>
        <v>2127.6000000000004</v>
      </c>
      <c r="Y84" s="47">
        <f t="shared" si="27"/>
        <v>5108.3999999999996</v>
      </c>
      <c r="Z84" s="47">
        <f t="shared" si="39"/>
        <v>33647.4</v>
      </c>
    </row>
    <row r="85" spans="1:26" s="121" customFormat="1" ht="30">
      <c r="A85" s="46">
        <f t="shared" si="36"/>
        <v>78</v>
      </c>
      <c r="B85" s="48" t="s">
        <v>188</v>
      </c>
      <c r="C85" s="48" t="s">
        <v>31</v>
      </c>
      <c r="D85" s="48" t="s">
        <v>52</v>
      </c>
      <c r="E85" s="48" t="s">
        <v>105</v>
      </c>
      <c r="F85" s="48" t="s">
        <v>40</v>
      </c>
      <c r="G85" s="47">
        <v>36000</v>
      </c>
      <c r="H85" s="47">
        <f t="shared" si="29"/>
        <v>33872.400000000001</v>
      </c>
      <c r="I85" s="47">
        <f t="shared" si="30"/>
        <v>1033.2</v>
      </c>
      <c r="J85" s="47">
        <f t="shared" si="31"/>
        <v>2555.9999999999995</v>
      </c>
      <c r="K85" s="106">
        <f t="shared" si="35"/>
        <v>396.00000000000006</v>
      </c>
      <c r="L85" s="47">
        <f t="shared" si="28"/>
        <v>1094.4000000000001</v>
      </c>
      <c r="M85" s="47">
        <f t="shared" si="37"/>
        <v>2552.4</v>
      </c>
      <c r="N85" s="47"/>
      <c r="O85" s="47">
        <f t="shared" si="32"/>
        <v>7632</v>
      </c>
      <c r="P85" s="47">
        <v>25</v>
      </c>
      <c r="Q85" s="110">
        <v>500</v>
      </c>
      <c r="R85" s="47"/>
      <c r="S85" s="47"/>
      <c r="T85" s="47">
        <v>1259.67</v>
      </c>
      <c r="U85" s="47">
        <v>200</v>
      </c>
      <c r="V85" s="47">
        <f t="shared" si="38"/>
        <v>0</v>
      </c>
      <c r="W85" s="47">
        <f t="shared" si="33"/>
        <v>1984.67</v>
      </c>
      <c r="X85" s="47">
        <f t="shared" si="34"/>
        <v>2127.6000000000004</v>
      </c>
      <c r="Y85" s="47">
        <f t="shared" si="27"/>
        <v>5108.3999999999996</v>
      </c>
      <c r="Z85" s="47">
        <f t="shared" si="39"/>
        <v>31887.73</v>
      </c>
    </row>
    <row r="86" spans="1:26" s="121" customFormat="1" ht="45" customHeight="1">
      <c r="A86" s="46">
        <f t="shared" si="36"/>
        <v>79</v>
      </c>
      <c r="B86" s="48" t="s">
        <v>190</v>
      </c>
      <c r="C86" s="48" t="s">
        <v>35</v>
      </c>
      <c r="D86" s="48" t="s">
        <v>111</v>
      </c>
      <c r="E86" s="48" t="s">
        <v>105</v>
      </c>
      <c r="F86" s="48" t="s">
        <v>40</v>
      </c>
      <c r="G86" s="47">
        <v>36000</v>
      </c>
      <c r="H86" s="47">
        <f t="shared" si="29"/>
        <v>33872.400000000001</v>
      </c>
      <c r="I86" s="47">
        <f t="shared" si="30"/>
        <v>1033.2</v>
      </c>
      <c r="J86" s="47">
        <f t="shared" si="31"/>
        <v>2555.9999999999995</v>
      </c>
      <c r="K86" s="47">
        <f t="shared" si="35"/>
        <v>396.00000000000006</v>
      </c>
      <c r="L86" s="47">
        <f t="shared" ref="L86:L97" si="40">IF(G86&lt;=187020,G86*3.04%,4943.8)</f>
        <v>1094.4000000000001</v>
      </c>
      <c r="M86" s="47">
        <f t="shared" si="37"/>
        <v>2552.4</v>
      </c>
      <c r="N86" s="47"/>
      <c r="O86" s="47">
        <f t="shared" si="32"/>
        <v>7632</v>
      </c>
      <c r="P86" s="47">
        <v>25</v>
      </c>
      <c r="Q86" s="110">
        <v>1500</v>
      </c>
      <c r="R86" s="47"/>
      <c r="S86" s="47"/>
      <c r="T86" s="47">
        <v>719.93</v>
      </c>
      <c r="U86" s="47">
        <v>200</v>
      </c>
      <c r="V86" s="47">
        <f t="shared" si="38"/>
        <v>0</v>
      </c>
      <c r="W86" s="47">
        <f t="shared" si="33"/>
        <v>2444.9299999999998</v>
      </c>
      <c r="X86" s="47">
        <f t="shared" si="34"/>
        <v>2127.6000000000004</v>
      </c>
      <c r="Y86" s="47">
        <f t="shared" si="27"/>
        <v>5108.3999999999996</v>
      </c>
      <c r="Z86" s="47">
        <f t="shared" si="39"/>
        <v>31427.47</v>
      </c>
    </row>
    <row r="87" spans="1:26" s="120" customFormat="1" ht="45">
      <c r="A87" s="46">
        <f t="shared" si="36"/>
        <v>80</v>
      </c>
      <c r="B87" s="48" t="s">
        <v>165</v>
      </c>
      <c r="C87" s="48" t="s">
        <v>35</v>
      </c>
      <c r="D87" s="48" t="s">
        <v>89</v>
      </c>
      <c r="E87" s="48" t="s">
        <v>105</v>
      </c>
      <c r="F87" s="48" t="s">
        <v>40</v>
      </c>
      <c r="G87" s="47">
        <v>36000</v>
      </c>
      <c r="H87" s="47">
        <f t="shared" si="29"/>
        <v>33872.400000000001</v>
      </c>
      <c r="I87" s="47">
        <f t="shared" si="30"/>
        <v>1033.2</v>
      </c>
      <c r="J87" s="47">
        <f t="shared" si="31"/>
        <v>2555.9999999999995</v>
      </c>
      <c r="K87" s="106">
        <f t="shared" si="35"/>
        <v>396.00000000000006</v>
      </c>
      <c r="L87" s="47">
        <f t="shared" si="40"/>
        <v>1094.4000000000001</v>
      </c>
      <c r="M87" s="47">
        <f t="shared" si="37"/>
        <v>2552.4</v>
      </c>
      <c r="N87" s="47"/>
      <c r="O87" s="47">
        <f t="shared" si="32"/>
        <v>7632</v>
      </c>
      <c r="P87" s="47">
        <v>25</v>
      </c>
      <c r="Q87" s="110"/>
      <c r="R87" s="47"/>
      <c r="S87" s="47"/>
      <c r="T87" s="47">
        <v>797.28</v>
      </c>
      <c r="U87" s="47">
        <v>200</v>
      </c>
      <c r="V87" s="47">
        <f t="shared" si="38"/>
        <v>0</v>
      </c>
      <c r="W87" s="47">
        <f t="shared" si="33"/>
        <v>1022.28</v>
      </c>
      <c r="X87" s="47">
        <f t="shared" si="34"/>
        <v>2127.6000000000004</v>
      </c>
      <c r="Y87" s="47">
        <f t="shared" ref="Y87:Y106" si="41">+J87+M87</f>
        <v>5108.3999999999996</v>
      </c>
      <c r="Z87" s="47">
        <f t="shared" si="39"/>
        <v>32850.120000000003</v>
      </c>
    </row>
    <row r="88" spans="1:26" s="53" customFormat="1" ht="30">
      <c r="A88" s="46">
        <f t="shared" si="36"/>
        <v>81</v>
      </c>
      <c r="B88" s="48" t="s">
        <v>167</v>
      </c>
      <c r="C88" s="48" t="s">
        <v>31</v>
      </c>
      <c r="D88" s="48" t="s">
        <v>52</v>
      </c>
      <c r="E88" s="48" t="s">
        <v>160</v>
      </c>
      <c r="F88" s="48" t="s">
        <v>40</v>
      </c>
      <c r="G88" s="47">
        <v>36000</v>
      </c>
      <c r="H88" s="47">
        <f t="shared" si="29"/>
        <v>33872.400000000001</v>
      </c>
      <c r="I88" s="47">
        <f t="shared" si="30"/>
        <v>1033.2</v>
      </c>
      <c r="J88" s="47">
        <f t="shared" si="31"/>
        <v>2555.9999999999995</v>
      </c>
      <c r="K88" s="106">
        <f t="shared" si="35"/>
        <v>396.00000000000006</v>
      </c>
      <c r="L88" s="47">
        <f t="shared" si="40"/>
        <v>1094.4000000000001</v>
      </c>
      <c r="M88" s="47">
        <f t="shared" si="37"/>
        <v>2552.4</v>
      </c>
      <c r="N88" s="47"/>
      <c r="O88" s="47">
        <f t="shared" si="32"/>
        <v>7632</v>
      </c>
      <c r="P88" s="47">
        <v>25</v>
      </c>
      <c r="Q88" s="110"/>
      <c r="R88" s="117"/>
      <c r="S88" s="117"/>
      <c r="T88" s="47"/>
      <c r="U88" s="47">
        <v>200</v>
      </c>
      <c r="V88" s="47">
        <f t="shared" si="38"/>
        <v>0</v>
      </c>
      <c r="W88" s="47">
        <f t="shared" si="33"/>
        <v>225</v>
      </c>
      <c r="X88" s="47">
        <f t="shared" si="34"/>
        <v>2127.6000000000004</v>
      </c>
      <c r="Y88" s="47">
        <f t="shared" si="41"/>
        <v>5108.3999999999996</v>
      </c>
      <c r="Z88" s="47">
        <f t="shared" si="39"/>
        <v>33647.4</v>
      </c>
    </row>
    <row r="89" spans="1:26" s="53" customFormat="1" ht="30">
      <c r="A89" s="46">
        <f t="shared" si="36"/>
        <v>82</v>
      </c>
      <c r="B89" s="48" t="s">
        <v>168</v>
      </c>
      <c r="C89" s="48" t="s">
        <v>35</v>
      </c>
      <c r="D89" s="48" t="s">
        <v>52</v>
      </c>
      <c r="E89" s="48" t="s">
        <v>154</v>
      </c>
      <c r="F89" s="48" t="s">
        <v>40</v>
      </c>
      <c r="G89" s="47">
        <v>25000</v>
      </c>
      <c r="H89" s="47">
        <f t="shared" si="29"/>
        <v>23522.5</v>
      </c>
      <c r="I89" s="47">
        <f t="shared" si="30"/>
        <v>717.5</v>
      </c>
      <c r="J89" s="47">
        <f t="shared" si="31"/>
        <v>1774.9999999999998</v>
      </c>
      <c r="K89" s="106">
        <f t="shared" si="35"/>
        <v>275</v>
      </c>
      <c r="L89" s="47">
        <f t="shared" si="40"/>
        <v>760</v>
      </c>
      <c r="M89" s="47">
        <f t="shared" si="37"/>
        <v>1772.5000000000002</v>
      </c>
      <c r="N89" s="47"/>
      <c r="O89" s="47">
        <f t="shared" si="32"/>
        <v>5300</v>
      </c>
      <c r="P89" s="47">
        <v>25</v>
      </c>
      <c r="Q89" s="110">
        <v>12482.54</v>
      </c>
      <c r="R89" s="117"/>
      <c r="S89" s="117"/>
      <c r="T89" s="47"/>
      <c r="U89" s="47">
        <v>200</v>
      </c>
      <c r="V89" s="47">
        <f t="shared" si="38"/>
        <v>0</v>
      </c>
      <c r="W89" s="47">
        <f t="shared" si="33"/>
        <v>12707.54</v>
      </c>
      <c r="X89" s="47">
        <f t="shared" si="34"/>
        <v>1477.5</v>
      </c>
      <c r="Y89" s="47">
        <f t="shared" si="41"/>
        <v>3547.5</v>
      </c>
      <c r="Z89" s="47">
        <f t="shared" si="39"/>
        <v>10814.96</v>
      </c>
    </row>
    <row r="90" spans="1:26" s="53" customFormat="1" ht="30">
      <c r="A90" s="46">
        <f t="shared" si="36"/>
        <v>83</v>
      </c>
      <c r="B90" s="48" t="s">
        <v>189</v>
      </c>
      <c r="C90" s="48" t="s">
        <v>35</v>
      </c>
      <c r="D90" s="48" t="s">
        <v>52</v>
      </c>
      <c r="E90" s="48" t="s">
        <v>154</v>
      </c>
      <c r="F90" s="48" t="s">
        <v>40</v>
      </c>
      <c r="G90" s="47">
        <v>25000</v>
      </c>
      <c r="H90" s="47">
        <f t="shared" si="29"/>
        <v>23522.5</v>
      </c>
      <c r="I90" s="47">
        <f t="shared" si="30"/>
        <v>717.5</v>
      </c>
      <c r="J90" s="47">
        <f t="shared" si="31"/>
        <v>1774.9999999999998</v>
      </c>
      <c r="K90" s="106">
        <f t="shared" si="35"/>
        <v>275</v>
      </c>
      <c r="L90" s="47">
        <f t="shared" si="40"/>
        <v>760</v>
      </c>
      <c r="M90" s="47">
        <f t="shared" si="37"/>
        <v>1772.5000000000002</v>
      </c>
      <c r="N90" s="47"/>
      <c r="O90" s="47">
        <f t="shared" si="32"/>
        <v>5300</v>
      </c>
      <c r="P90" s="47">
        <v>25</v>
      </c>
      <c r="Q90" s="110"/>
      <c r="R90" s="117"/>
      <c r="S90" s="117"/>
      <c r="T90" s="47">
        <v>0</v>
      </c>
      <c r="U90" s="47">
        <v>200</v>
      </c>
      <c r="V90" s="47">
        <f t="shared" si="38"/>
        <v>0</v>
      </c>
      <c r="W90" s="47">
        <f t="shared" si="33"/>
        <v>225</v>
      </c>
      <c r="X90" s="47">
        <f t="shared" si="34"/>
        <v>1477.5</v>
      </c>
      <c r="Y90" s="47">
        <f t="shared" si="41"/>
        <v>3547.5</v>
      </c>
      <c r="Z90" s="47">
        <f t="shared" si="39"/>
        <v>23297.5</v>
      </c>
    </row>
    <row r="91" spans="1:26" s="53" customFormat="1" ht="30">
      <c r="A91" s="46">
        <f t="shared" si="36"/>
        <v>84</v>
      </c>
      <c r="B91" s="48" t="s">
        <v>169</v>
      </c>
      <c r="C91" s="48" t="s">
        <v>35</v>
      </c>
      <c r="D91" s="48" t="s">
        <v>52</v>
      </c>
      <c r="E91" s="48" t="s">
        <v>154</v>
      </c>
      <c r="F91" s="48" t="s">
        <v>40</v>
      </c>
      <c r="G91" s="47">
        <v>25000</v>
      </c>
      <c r="H91" s="47">
        <f t="shared" si="29"/>
        <v>23522.5</v>
      </c>
      <c r="I91" s="47">
        <f t="shared" si="30"/>
        <v>717.5</v>
      </c>
      <c r="J91" s="47">
        <f t="shared" si="31"/>
        <v>1774.9999999999998</v>
      </c>
      <c r="K91" s="106">
        <f t="shared" si="35"/>
        <v>275</v>
      </c>
      <c r="L91" s="47">
        <f t="shared" si="40"/>
        <v>760</v>
      </c>
      <c r="M91" s="47">
        <f t="shared" si="37"/>
        <v>1772.5000000000002</v>
      </c>
      <c r="N91" s="47"/>
      <c r="O91" s="47">
        <f t="shared" si="32"/>
        <v>5300</v>
      </c>
      <c r="P91" s="47">
        <v>25</v>
      </c>
      <c r="Q91" s="110">
        <v>7491.65</v>
      </c>
      <c r="R91" s="117"/>
      <c r="S91" s="117"/>
      <c r="T91" s="47"/>
      <c r="U91" s="47">
        <v>200</v>
      </c>
      <c r="V91" s="47">
        <f t="shared" si="38"/>
        <v>0</v>
      </c>
      <c r="W91" s="47">
        <f t="shared" si="33"/>
        <v>7716.65</v>
      </c>
      <c r="X91" s="47">
        <f t="shared" si="34"/>
        <v>1477.5</v>
      </c>
      <c r="Y91" s="47">
        <f t="shared" si="41"/>
        <v>3547.5</v>
      </c>
      <c r="Z91" s="47">
        <f t="shared" si="39"/>
        <v>15805.85</v>
      </c>
    </row>
    <row r="92" spans="1:26" s="53" customFormat="1" ht="30">
      <c r="A92" s="46">
        <f t="shared" si="36"/>
        <v>85</v>
      </c>
      <c r="B92" s="48" t="s">
        <v>193</v>
      </c>
      <c r="C92" s="48" t="s">
        <v>35</v>
      </c>
      <c r="D92" s="48" t="s">
        <v>52</v>
      </c>
      <c r="E92" s="48" t="s">
        <v>154</v>
      </c>
      <c r="F92" s="48" t="s">
        <v>40</v>
      </c>
      <c r="G92" s="47">
        <v>25000</v>
      </c>
      <c r="H92" s="47">
        <f t="shared" si="29"/>
        <v>23522.5</v>
      </c>
      <c r="I92" s="47">
        <f t="shared" si="30"/>
        <v>717.5</v>
      </c>
      <c r="J92" s="47">
        <f t="shared" si="31"/>
        <v>1774.9999999999998</v>
      </c>
      <c r="K92" s="106">
        <f t="shared" si="35"/>
        <v>275</v>
      </c>
      <c r="L92" s="47">
        <f t="shared" si="40"/>
        <v>760</v>
      </c>
      <c r="M92" s="47">
        <f t="shared" si="37"/>
        <v>1772.5000000000002</v>
      </c>
      <c r="N92" s="47"/>
      <c r="O92" s="47">
        <f t="shared" si="32"/>
        <v>5300</v>
      </c>
      <c r="P92" s="47">
        <v>25</v>
      </c>
      <c r="Q92" s="110">
        <v>1000</v>
      </c>
      <c r="R92" s="117"/>
      <c r="S92" s="117"/>
      <c r="T92" s="47"/>
      <c r="U92" s="47">
        <v>200</v>
      </c>
      <c r="V92" s="47">
        <f t="shared" si="38"/>
        <v>0</v>
      </c>
      <c r="W92" s="47">
        <f t="shared" si="33"/>
        <v>1225</v>
      </c>
      <c r="X92" s="47">
        <f t="shared" si="34"/>
        <v>1477.5</v>
      </c>
      <c r="Y92" s="47">
        <f t="shared" si="41"/>
        <v>3547.5</v>
      </c>
      <c r="Z92" s="47">
        <f t="shared" si="39"/>
        <v>22297.5</v>
      </c>
    </row>
    <row r="93" spans="1:26" s="53" customFormat="1" ht="45">
      <c r="A93" s="46">
        <f t="shared" si="36"/>
        <v>86</v>
      </c>
      <c r="B93" s="48" t="s">
        <v>170</v>
      </c>
      <c r="C93" s="48" t="s">
        <v>35</v>
      </c>
      <c r="D93" s="48" t="s">
        <v>132</v>
      </c>
      <c r="E93" s="48" t="s">
        <v>130</v>
      </c>
      <c r="F93" s="48" t="s">
        <v>40</v>
      </c>
      <c r="G93" s="47">
        <v>30000</v>
      </c>
      <c r="H93" s="47">
        <f t="shared" si="29"/>
        <v>28227</v>
      </c>
      <c r="I93" s="47">
        <f t="shared" si="30"/>
        <v>861</v>
      </c>
      <c r="J93" s="47">
        <f t="shared" si="31"/>
        <v>2130</v>
      </c>
      <c r="K93" s="106">
        <f t="shared" si="35"/>
        <v>330.00000000000006</v>
      </c>
      <c r="L93" s="47">
        <f t="shared" si="40"/>
        <v>912</v>
      </c>
      <c r="M93" s="47">
        <f t="shared" si="37"/>
        <v>2127</v>
      </c>
      <c r="N93" s="47"/>
      <c r="O93" s="47">
        <f t="shared" si="32"/>
        <v>6360</v>
      </c>
      <c r="P93" s="47">
        <v>25</v>
      </c>
      <c r="Q93" s="110">
        <v>0</v>
      </c>
      <c r="R93" s="117"/>
      <c r="S93" s="117"/>
      <c r="T93" s="47"/>
      <c r="U93" s="47">
        <v>200</v>
      </c>
      <c r="V93" s="47">
        <f t="shared" si="38"/>
        <v>0</v>
      </c>
      <c r="W93" s="47">
        <f t="shared" si="33"/>
        <v>225</v>
      </c>
      <c r="X93" s="47">
        <f t="shared" si="34"/>
        <v>1773</v>
      </c>
      <c r="Y93" s="47">
        <f t="shared" si="41"/>
        <v>4257</v>
      </c>
      <c r="Z93" s="47">
        <f t="shared" si="39"/>
        <v>28002</v>
      </c>
    </row>
    <row r="94" spans="1:26" s="53" customFormat="1" ht="30">
      <c r="A94" s="46">
        <f t="shared" si="36"/>
        <v>87</v>
      </c>
      <c r="B94" s="48" t="s">
        <v>171</v>
      </c>
      <c r="C94" s="48" t="s">
        <v>35</v>
      </c>
      <c r="D94" s="48" t="s">
        <v>52</v>
      </c>
      <c r="E94" s="48" t="s">
        <v>154</v>
      </c>
      <c r="F94" s="48" t="s">
        <v>40</v>
      </c>
      <c r="G94" s="47">
        <v>25000</v>
      </c>
      <c r="H94" s="47">
        <f t="shared" si="29"/>
        <v>23522.5</v>
      </c>
      <c r="I94" s="47">
        <f t="shared" si="30"/>
        <v>717.5</v>
      </c>
      <c r="J94" s="47">
        <f t="shared" si="31"/>
        <v>1774.9999999999998</v>
      </c>
      <c r="K94" s="106">
        <f t="shared" si="35"/>
        <v>275</v>
      </c>
      <c r="L94" s="47">
        <f t="shared" si="40"/>
        <v>760</v>
      </c>
      <c r="M94" s="47">
        <f t="shared" si="37"/>
        <v>1772.5000000000002</v>
      </c>
      <c r="N94" s="47"/>
      <c r="O94" s="47">
        <f t="shared" si="32"/>
        <v>5300</v>
      </c>
      <c r="P94" s="47">
        <v>25</v>
      </c>
      <c r="Q94" s="117"/>
      <c r="R94" s="117"/>
      <c r="S94" s="117"/>
      <c r="T94" s="47"/>
      <c r="U94" s="47">
        <v>200</v>
      </c>
      <c r="V94" s="47">
        <f t="shared" si="38"/>
        <v>0</v>
      </c>
      <c r="W94" s="47">
        <f t="shared" si="33"/>
        <v>225</v>
      </c>
      <c r="X94" s="47">
        <f t="shared" si="34"/>
        <v>1477.5</v>
      </c>
      <c r="Y94" s="47">
        <f t="shared" si="41"/>
        <v>3547.5</v>
      </c>
      <c r="Z94" s="47">
        <f t="shared" si="39"/>
        <v>23297.5</v>
      </c>
    </row>
    <row r="95" spans="1:26" s="54" customFormat="1" ht="30" customHeight="1">
      <c r="A95" s="46">
        <f t="shared" si="36"/>
        <v>88</v>
      </c>
      <c r="B95" s="94" t="s">
        <v>172</v>
      </c>
      <c r="C95" s="48" t="s">
        <v>35</v>
      </c>
      <c r="D95" s="48" t="s">
        <v>52</v>
      </c>
      <c r="E95" s="48" t="s">
        <v>154</v>
      </c>
      <c r="F95" s="48" t="s">
        <v>40</v>
      </c>
      <c r="G95" s="47">
        <v>25000</v>
      </c>
      <c r="H95" s="47">
        <f t="shared" si="29"/>
        <v>23522.5</v>
      </c>
      <c r="I95" s="47">
        <f t="shared" si="30"/>
        <v>717.5</v>
      </c>
      <c r="J95" s="47">
        <f t="shared" si="31"/>
        <v>1774.9999999999998</v>
      </c>
      <c r="K95" s="106">
        <f t="shared" si="35"/>
        <v>275</v>
      </c>
      <c r="L95" s="47">
        <f t="shared" si="40"/>
        <v>760</v>
      </c>
      <c r="M95" s="47">
        <f t="shared" si="37"/>
        <v>1772.5000000000002</v>
      </c>
      <c r="N95" s="47"/>
      <c r="O95" s="47">
        <f t="shared" si="32"/>
        <v>5300</v>
      </c>
      <c r="P95" s="47">
        <v>25</v>
      </c>
      <c r="Q95" s="110"/>
      <c r="R95" s="47"/>
      <c r="S95" s="47"/>
      <c r="T95" s="47"/>
      <c r="U95" s="47">
        <v>200</v>
      </c>
      <c r="V95" s="47">
        <f t="shared" si="38"/>
        <v>0</v>
      </c>
      <c r="W95" s="47">
        <f t="shared" si="33"/>
        <v>225</v>
      </c>
      <c r="X95" s="47">
        <f t="shared" si="34"/>
        <v>1477.5</v>
      </c>
      <c r="Y95" s="47">
        <f t="shared" si="41"/>
        <v>3547.5</v>
      </c>
      <c r="Z95" s="47">
        <f t="shared" si="39"/>
        <v>23297.5</v>
      </c>
    </row>
    <row r="96" spans="1:26" s="127" customFormat="1" ht="30" customHeight="1">
      <c r="A96" s="46">
        <f t="shared" si="36"/>
        <v>89</v>
      </c>
      <c r="B96" s="94" t="s">
        <v>187</v>
      </c>
      <c r="C96" s="48" t="s">
        <v>35</v>
      </c>
      <c r="D96" s="48" t="s">
        <v>52</v>
      </c>
      <c r="E96" s="48" t="s">
        <v>154</v>
      </c>
      <c r="F96" s="48" t="s">
        <v>40</v>
      </c>
      <c r="G96" s="47">
        <v>25000</v>
      </c>
      <c r="H96" s="47">
        <f t="shared" si="29"/>
        <v>23522.5</v>
      </c>
      <c r="I96" s="47">
        <f t="shared" si="30"/>
        <v>717.5</v>
      </c>
      <c r="J96" s="47">
        <f t="shared" si="31"/>
        <v>1774.9999999999998</v>
      </c>
      <c r="K96" s="106">
        <f t="shared" si="35"/>
        <v>275</v>
      </c>
      <c r="L96" s="47">
        <f t="shared" si="40"/>
        <v>760</v>
      </c>
      <c r="M96" s="47">
        <f t="shared" si="37"/>
        <v>1772.5000000000002</v>
      </c>
      <c r="N96" s="47"/>
      <c r="O96" s="47">
        <f t="shared" si="32"/>
        <v>5300</v>
      </c>
      <c r="P96" s="47">
        <v>25</v>
      </c>
      <c r="Q96" s="110">
        <v>500</v>
      </c>
      <c r="R96" s="47"/>
      <c r="S96" s="47"/>
      <c r="T96" s="47">
        <v>54.99</v>
      </c>
      <c r="U96" s="47">
        <v>200</v>
      </c>
      <c r="V96" s="47">
        <f t="shared" si="38"/>
        <v>0</v>
      </c>
      <c r="W96" s="47">
        <f t="shared" si="33"/>
        <v>779.99</v>
      </c>
      <c r="X96" s="47">
        <f t="shared" si="34"/>
        <v>1477.5</v>
      </c>
      <c r="Y96" s="47">
        <f t="shared" si="41"/>
        <v>3547.5</v>
      </c>
      <c r="Z96" s="47">
        <f t="shared" si="39"/>
        <v>22742.510000000002</v>
      </c>
    </row>
    <row r="97" spans="1:26" s="53" customFormat="1" ht="30">
      <c r="A97" s="46">
        <f t="shared" si="36"/>
        <v>90</v>
      </c>
      <c r="B97" s="48" t="s">
        <v>186</v>
      </c>
      <c r="C97" s="48" t="s">
        <v>35</v>
      </c>
      <c r="D97" s="48" t="s">
        <v>52</v>
      </c>
      <c r="E97" s="94" t="s">
        <v>105</v>
      </c>
      <c r="F97" s="48" t="s">
        <v>40</v>
      </c>
      <c r="G97" s="47">
        <v>30000</v>
      </c>
      <c r="H97" s="47">
        <f t="shared" si="29"/>
        <v>28227</v>
      </c>
      <c r="I97" s="47">
        <f t="shared" si="30"/>
        <v>861</v>
      </c>
      <c r="J97" s="47">
        <f t="shared" si="31"/>
        <v>2130</v>
      </c>
      <c r="K97" s="106">
        <f t="shared" si="35"/>
        <v>330.00000000000006</v>
      </c>
      <c r="L97" s="47">
        <f t="shared" si="40"/>
        <v>912</v>
      </c>
      <c r="M97" s="47">
        <f t="shared" si="37"/>
        <v>2127</v>
      </c>
      <c r="N97" s="47"/>
      <c r="O97" s="47">
        <f t="shared" si="32"/>
        <v>6360</v>
      </c>
      <c r="P97" s="47">
        <v>25</v>
      </c>
      <c r="Q97" s="117"/>
      <c r="R97" s="117"/>
      <c r="S97" s="117"/>
      <c r="T97" s="47">
        <v>0</v>
      </c>
      <c r="U97" s="47">
        <v>200</v>
      </c>
      <c r="V97" s="47">
        <f t="shared" si="38"/>
        <v>0</v>
      </c>
      <c r="W97" s="47">
        <f t="shared" si="33"/>
        <v>225</v>
      </c>
      <c r="X97" s="47">
        <f t="shared" si="34"/>
        <v>1773</v>
      </c>
      <c r="Y97" s="47">
        <f t="shared" si="41"/>
        <v>4257</v>
      </c>
      <c r="Z97" s="118">
        <f t="shared" si="39"/>
        <v>28002</v>
      </c>
    </row>
    <row r="98" spans="1:26" s="122" customFormat="1" ht="45">
      <c r="A98" s="46">
        <f t="shared" si="36"/>
        <v>91</v>
      </c>
      <c r="B98" s="92" t="s">
        <v>185</v>
      </c>
      <c r="C98" s="92" t="s">
        <v>35</v>
      </c>
      <c r="D98" s="92" t="s">
        <v>132</v>
      </c>
      <c r="E98" s="46" t="s">
        <v>194</v>
      </c>
      <c r="F98" s="105" t="s">
        <v>40</v>
      </c>
      <c r="G98" s="106">
        <v>110000</v>
      </c>
      <c r="H98" s="118">
        <f t="shared" si="29"/>
        <v>103499</v>
      </c>
      <c r="I98" s="118">
        <f t="shared" si="30"/>
        <v>3157</v>
      </c>
      <c r="J98" s="118">
        <f t="shared" si="31"/>
        <v>7809.9999999999991</v>
      </c>
      <c r="K98" s="106">
        <f t="shared" si="35"/>
        <v>953.69</v>
      </c>
      <c r="L98" s="118">
        <f>IF(G98&lt;=187020,G98*3.04%,4943.8)</f>
        <v>3344</v>
      </c>
      <c r="M98" s="47">
        <f t="shared" si="37"/>
        <v>7799.0000000000009</v>
      </c>
      <c r="N98" s="118"/>
      <c r="O98" s="118">
        <f t="shared" si="32"/>
        <v>23063.690000000002</v>
      </c>
      <c r="P98" s="118">
        <v>25</v>
      </c>
      <c r="Q98" s="119"/>
      <c r="R98" s="119"/>
      <c r="S98" s="119"/>
      <c r="T98" s="118">
        <v>1319.81</v>
      </c>
      <c r="U98" s="118">
        <v>200</v>
      </c>
      <c r="V98" s="118">
        <v>5003.63</v>
      </c>
      <c r="W98" s="118">
        <f t="shared" si="33"/>
        <v>6548.4400000000005</v>
      </c>
      <c r="X98" s="118">
        <f t="shared" si="34"/>
        <v>6501</v>
      </c>
      <c r="Y98" s="118">
        <f t="shared" si="41"/>
        <v>15609</v>
      </c>
      <c r="Z98" s="118">
        <f t="shared" si="39"/>
        <v>96950.56</v>
      </c>
    </row>
    <row r="99" spans="1:26" s="53" customFormat="1" ht="30">
      <c r="A99" s="46">
        <f t="shared" si="36"/>
        <v>92</v>
      </c>
      <c r="B99" s="48" t="s">
        <v>173</v>
      </c>
      <c r="C99" s="48" t="s">
        <v>35</v>
      </c>
      <c r="D99" s="48" t="s">
        <v>52</v>
      </c>
      <c r="E99" s="48" t="s">
        <v>154</v>
      </c>
      <c r="F99" s="48" t="s">
        <v>40</v>
      </c>
      <c r="G99" s="47">
        <v>25000</v>
      </c>
      <c r="H99" s="47">
        <f t="shared" si="29"/>
        <v>23522.5</v>
      </c>
      <c r="I99" s="47">
        <f t="shared" ref="I99:I106" si="42">IF(G99&lt;=374040,G99*2.87%,9334.68)</f>
        <v>717.5</v>
      </c>
      <c r="J99" s="47">
        <f t="shared" ref="J99:J106" si="43">IF(G99&lt;=374040,G99*7.1%,23092.75)</f>
        <v>1774.9999999999998</v>
      </c>
      <c r="K99" s="106">
        <f t="shared" ref="K99:K106" si="44">IF(G99&lt;=74808,G99*1.1%,953.69)</f>
        <v>275</v>
      </c>
      <c r="L99" s="47">
        <f>IF(G99&lt;=187020,G99*3.04%,4943.8)</f>
        <v>760</v>
      </c>
      <c r="M99" s="47">
        <f t="shared" si="37"/>
        <v>1772.5000000000002</v>
      </c>
      <c r="N99" s="47"/>
      <c r="O99" s="47">
        <f t="shared" si="32"/>
        <v>5300</v>
      </c>
      <c r="P99" s="47">
        <v>25</v>
      </c>
      <c r="Q99" s="117"/>
      <c r="R99" s="117"/>
      <c r="S99" s="117"/>
      <c r="T99" s="47">
        <v>0</v>
      </c>
      <c r="U99" s="47">
        <v>200</v>
      </c>
      <c r="V99" s="47">
        <f t="shared" ref="V99:V100" si="45">IF((H99*12)&gt;867123.01,(79776+(((H99*12)-867123.01)*0.25))/12,IF((H99*12)&gt;624329.01,(31216+(((H99*12)-624329.01)*0.2))/12,IF((H99*12)&gt;416220.01,(((H99*12)-416220.01)*0.15)/12,0)))</f>
        <v>0</v>
      </c>
      <c r="W99" s="47">
        <f t="shared" si="33"/>
        <v>225</v>
      </c>
      <c r="X99" s="47">
        <f t="shared" si="34"/>
        <v>1477.5</v>
      </c>
      <c r="Y99" s="47">
        <f t="shared" si="41"/>
        <v>3547.5</v>
      </c>
      <c r="Z99" s="47">
        <f t="shared" si="39"/>
        <v>23297.5</v>
      </c>
    </row>
    <row r="100" spans="1:26" s="120" customFormat="1" ht="30">
      <c r="A100" s="46">
        <f t="shared" si="36"/>
        <v>93</v>
      </c>
      <c r="B100" s="48" t="s">
        <v>206</v>
      </c>
      <c r="C100" s="48" t="s">
        <v>31</v>
      </c>
      <c r="D100" s="48" t="s">
        <v>52</v>
      </c>
      <c r="E100" s="48" t="s">
        <v>160</v>
      </c>
      <c r="F100" s="48" t="s">
        <v>40</v>
      </c>
      <c r="G100" s="47">
        <v>25000</v>
      </c>
      <c r="H100" s="47">
        <f t="shared" ref="H100:H106" si="46">+G100-(I100+L100+N100)</f>
        <v>23522.5</v>
      </c>
      <c r="I100" s="47">
        <f t="shared" si="42"/>
        <v>717.5</v>
      </c>
      <c r="J100" s="47">
        <f t="shared" si="43"/>
        <v>1774.9999999999998</v>
      </c>
      <c r="K100" s="106">
        <f t="shared" si="44"/>
        <v>275</v>
      </c>
      <c r="L100" s="47">
        <f t="shared" ref="L100:L103" si="47">IF(G100&lt;=187020,G100*3.04%,4943.8)</f>
        <v>760</v>
      </c>
      <c r="M100" s="47">
        <f t="shared" si="37"/>
        <v>1772.5000000000002</v>
      </c>
      <c r="N100" s="47"/>
      <c r="O100" s="47">
        <f t="shared" ref="O100:O106" si="48">+I100+J100+K100+L100+M100+N100</f>
        <v>5300</v>
      </c>
      <c r="P100" s="47">
        <v>25</v>
      </c>
      <c r="Q100" s="110"/>
      <c r="R100" s="47"/>
      <c r="S100" s="47"/>
      <c r="T100" s="47">
        <v>267.10000000000002</v>
      </c>
      <c r="U100" s="47">
        <v>200</v>
      </c>
      <c r="V100" s="47">
        <f t="shared" si="45"/>
        <v>0</v>
      </c>
      <c r="W100" s="47">
        <f t="shared" si="33"/>
        <v>492.1</v>
      </c>
      <c r="X100" s="47">
        <f t="shared" si="34"/>
        <v>1477.5</v>
      </c>
      <c r="Y100" s="47">
        <f t="shared" si="41"/>
        <v>3547.5</v>
      </c>
      <c r="Z100" s="47">
        <f t="shared" si="39"/>
        <v>23030.400000000001</v>
      </c>
    </row>
    <row r="101" spans="1:26" s="52" customFormat="1" ht="30">
      <c r="A101" s="46">
        <f t="shared" si="36"/>
        <v>94</v>
      </c>
      <c r="B101" s="48" t="s">
        <v>212</v>
      </c>
      <c r="C101" s="48" t="s">
        <v>31</v>
      </c>
      <c r="D101" s="48" t="s">
        <v>214</v>
      </c>
      <c r="E101" s="48" t="s">
        <v>160</v>
      </c>
      <c r="F101" s="48" t="s">
        <v>40</v>
      </c>
      <c r="G101" s="47">
        <v>25000</v>
      </c>
      <c r="H101" s="47">
        <f t="shared" ref="H101:H102" si="49">+G101-(I101+L101+N101)</f>
        <v>23522.5</v>
      </c>
      <c r="I101" s="47">
        <f t="shared" ref="I101:I102" si="50">IF(G101&lt;=374040,G101*2.87%,9334.68)</f>
        <v>717.5</v>
      </c>
      <c r="J101" s="47">
        <f t="shared" ref="J101:J102" si="51">IF(G101&lt;=374040,G101*7.1%,23092.75)</f>
        <v>1774.9999999999998</v>
      </c>
      <c r="K101" s="106">
        <f t="shared" ref="K101:K102" si="52">IF(G101&lt;=74808,G101*1.1%,953.69)</f>
        <v>275</v>
      </c>
      <c r="L101" s="47">
        <f t="shared" ref="L101:L102" si="53">IF(G101&lt;=187020,G101*3.04%,4943.8)</f>
        <v>760</v>
      </c>
      <c r="M101" s="47">
        <f t="shared" si="37"/>
        <v>1772.5000000000002</v>
      </c>
      <c r="N101" s="47"/>
      <c r="O101" s="47">
        <f t="shared" ref="O101:O102" si="54">+I101+J101+K101+L101+M101+N101</f>
        <v>5300</v>
      </c>
      <c r="P101" s="47">
        <v>25</v>
      </c>
      <c r="Q101" s="110"/>
      <c r="R101" s="47"/>
      <c r="S101" s="47"/>
      <c r="T101" s="47">
        <v>0</v>
      </c>
      <c r="U101" s="47">
        <v>200</v>
      </c>
      <c r="V101" s="47">
        <f t="shared" ref="V101:V102" si="55">IF((H101*12)&gt;867123.01,(79776+(((H101*12)-867123.01)*0.25))/12,IF((H101*12)&gt;624329.01,(31216+(((H101*12)-624329.01)*0.2))/12,IF((H101*12)&gt;416220.01,(((H101*12)-416220.01)*0.15)/12,0)))</f>
        <v>0</v>
      </c>
      <c r="W101" s="47">
        <f t="shared" ref="W101:W102" si="56">P101+Q101+R101+T101+U101+V101</f>
        <v>225</v>
      </c>
      <c r="X101" s="47">
        <f t="shared" ref="X101:X102" si="57">+I101+L101+N101</f>
        <v>1477.5</v>
      </c>
      <c r="Y101" s="47">
        <f t="shared" ref="Y101:Y102" si="58">+J101+M101</f>
        <v>3547.5</v>
      </c>
      <c r="Z101" s="47">
        <f t="shared" ref="Z101:Z102" si="59">+G101-(W101+X101)</f>
        <v>23297.5</v>
      </c>
    </row>
    <row r="102" spans="1:26" s="52" customFormat="1" ht="30">
      <c r="A102" s="46">
        <f t="shared" si="36"/>
        <v>95</v>
      </c>
      <c r="B102" s="48" t="s">
        <v>213</v>
      </c>
      <c r="C102" s="48" t="s">
        <v>31</v>
      </c>
      <c r="D102" s="48" t="s">
        <v>181</v>
      </c>
      <c r="E102" s="48" t="s">
        <v>160</v>
      </c>
      <c r="F102" s="48" t="s">
        <v>40</v>
      </c>
      <c r="G102" s="47">
        <v>25000</v>
      </c>
      <c r="H102" s="47">
        <f t="shared" si="49"/>
        <v>23522.5</v>
      </c>
      <c r="I102" s="47">
        <f t="shared" si="50"/>
        <v>717.5</v>
      </c>
      <c r="J102" s="47">
        <f t="shared" si="51"/>
        <v>1774.9999999999998</v>
      </c>
      <c r="K102" s="106">
        <f t="shared" si="52"/>
        <v>275</v>
      </c>
      <c r="L102" s="47">
        <f t="shared" si="53"/>
        <v>760</v>
      </c>
      <c r="M102" s="47">
        <f t="shared" si="37"/>
        <v>1772.5000000000002</v>
      </c>
      <c r="N102" s="47"/>
      <c r="O102" s="47">
        <f t="shared" si="54"/>
        <v>5300</v>
      </c>
      <c r="P102" s="47">
        <v>25</v>
      </c>
      <c r="Q102" s="110"/>
      <c r="R102" s="47"/>
      <c r="S102" s="47"/>
      <c r="T102" s="47">
        <v>1133.54</v>
      </c>
      <c r="U102" s="47">
        <v>200</v>
      </c>
      <c r="V102" s="47">
        <f t="shared" si="55"/>
        <v>0</v>
      </c>
      <c r="W102" s="47">
        <f t="shared" si="56"/>
        <v>1358.54</v>
      </c>
      <c r="X102" s="47">
        <f t="shared" si="57"/>
        <v>1477.5</v>
      </c>
      <c r="Y102" s="47">
        <f t="shared" si="58"/>
        <v>3547.5</v>
      </c>
      <c r="Z102" s="47">
        <f t="shared" si="59"/>
        <v>22163.96</v>
      </c>
    </row>
    <row r="103" spans="1:26" s="120" customFormat="1" ht="30">
      <c r="A103" s="46">
        <f t="shared" si="36"/>
        <v>96</v>
      </c>
      <c r="B103" s="48" t="s">
        <v>207</v>
      </c>
      <c r="C103" s="48" t="s">
        <v>31</v>
      </c>
      <c r="D103" s="92" t="s">
        <v>181</v>
      </c>
      <c r="E103" s="48" t="s">
        <v>166</v>
      </c>
      <c r="F103" s="48" t="s">
        <v>49</v>
      </c>
      <c r="G103" s="47">
        <v>200000</v>
      </c>
      <c r="H103" s="47">
        <f t="shared" si="46"/>
        <v>189316.2</v>
      </c>
      <c r="I103" s="47">
        <f t="shared" si="42"/>
        <v>5740</v>
      </c>
      <c r="J103" s="47">
        <f t="shared" si="43"/>
        <v>14199.999999999998</v>
      </c>
      <c r="K103" s="106">
        <f t="shared" si="44"/>
        <v>953.69</v>
      </c>
      <c r="L103" s="47">
        <f t="shared" si="47"/>
        <v>4943.8</v>
      </c>
      <c r="M103" s="47">
        <f t="shared" si="37"/>
        <v>11530.11</v>
      </c>
      <c r="N103" s="47"/>
      <c r="O103" s="47">
        <f t="shared" si="48"/>
        <v>37367.599999999999</v>
      </c>
      <c r="P103" s="47">
        <v>25</v>
      </c>
      <c r="Q103" s="110"/>
      <c r="R103" s="47"/>
      <c r="S103" s="47"/>
      <c r="T103" s="47">
        <v>0</v>
      </c>
      <c r="U103" s="47">
        <v>200</v>
      </c>
      <c r="V103" s="47">
        <v>35627.870000000003</v>
      </c>
      <c r="W103" s="47">
        <f t="shared" si="33"/>
        <v>35852.870000000003</v>
      </c>
      <c r="X103" s="47">
        <f t="shared" si="34"/>
        <v>10683.8</v>
      </c>
      <c r="Y103" s="47">
        <f t="shared" si="41"/>
        <v>25730.11</v>
      </c>
      <c r="Z103" s="47">
        <f t="shared" si="39"/>
        <v>153463.33000000002</v>
      </c>
    </row>
    <row r="104" spans="1:26" s="120" customFormat="1" ht="30">
      <c r="A104" s="46">
        <f t="shared" si="36"/>
        <v>97</v>
      </c>
      <c r="B104" s="48" t="s">
        <v>208</v>
      </c>
      <c r="C104" s="48" t="s">
        <v>35</v>
      </c>
      <c r="D104" s="48" t="s">
        <v>33</v>
      </c>
      <c r="E104" s="48" t="s">
        <v>48</v>
      </c>
      <c r="F104" s="48" t="s">
        <v>49</v>
      </c>
      <c r="G104" s="47">
        <v>60000</v>
      </c>
      <c r="H104" s="47">
        <f t="shared" si="46"/>
        <v>56556</v>
      </c>
      <c r="I104" s="47">
        <f t="shared" si="42"/>
        <v>1722</v>
      </c>
      <c r="J104" s="47">
        <f t="shared" si="43"/>
        <v>4260</v>
      </c>
      <c r="K104" s="106">
        <f t="shared" si="44"/>
        <v>660.00000000000011</v>
      </c>
      <c r="L104" s="47">
        <v>1722</v>
      </c>
      <c r="M104" s="47">
        <f t="shared" si="37"/>
        <v>4254</v>
      </c>
      <c r="N104" s="47"/>
      <c r="O104" s="47">
        <f t="shared" si="48"/>
        <v>12618</v>
      </c>
      <c r="P104" s="47">
        <v>25</v>
      </c>
      <c r="Q104" s="110"/>
      <c r="R104" s="47"/>
      <c r="S104" s="47"/>
      <c r="T104" s="47">
        <v>1291.9000000000001</v>
      </c>
      <c r="U104" s="47">
        <v>200</v>
      </c>
      <c r="V104" s="47">
        <v>3486.68</v>
      </c>
      <c r="W104" s="47">
        <f t="shared" ref="W104:W106" si="60">P104+Q104+R104+T104+U104+V104</f>
        <v>5003.58</v>
      </c>
      <c r="X104" s="47">
        <f t="shared" si="34"/>
        <v>3444</v>
      </c>
      <c r="Y104" s="47">
        <f t="shared" si="41"/>
        <v>8514</v>
      </c>
      <c r="Z104" s="47">
        <f t="shared" si="39"/>
        <v>51552.42</v>
      </c>
    </row>
    <row r="105" spans="1:26" s="128" customFormat="1" ht="30">
      <c r="A105" s="46">
        <f t="shared" si="36"/>
        <v>98</v>
      </c>
      <c r="B105" s="48" t="s">
        <v>209</v>
      </c>
      <c r="C105" s="48" t="s">
        <v>31</v>
      </c>
      <c r="D105" s="48" t="s">
        <v>58</v>
      </c>
      <c r="E105" s="48" t="s">
        <v>105</v>
      </c>
      <c r="F105" s="48" t="s">
        <v>49</v>
      </c>
      <c r="G105" s="47">
        <v>46000</v>
      </c>
      <c r="H105" s="47">
        <f t="shared" si="46"/>
        <v>43281.4</v>
      </c>
      <c r="I105" s="47">
        <f t="shared" si="42"/>
        <v>1320.2</v>
      </c>
      <c r="J105" s="47">
        <f t="shared" si="43"/>
        <v>3265.9999999999995</v>
      </c>
      <c r="K105" s="106">
        <f t="shared" si="44"/>
        <v>506.00000000000006</v>
      </c>
      <c r="L105" s="47">
        <f t="shared" ref="L105:L106" si="61">IF(G105&lt;=187020,G105*3.04%,4943.8)</f>
        <v>1398.4</v>
      </c>
      <c r="M105" s="47">
        <f t="shared" si="37"/>
        <v>3261.4</v>
      </c>
      <c r="N105" s="114"/>
      <c r="O105" s="47">
        <f t="shared" si="48"/>
        <v>9752</v>
      </c>
      <c r="P105" s="47">
        <v>25</v>
      </c>
      <c r="Q105" s="110"/>
      <c r="R105" s="114"/>
      <c r="S105" s="114"/>
      <c r="T105" s="114">
        <v>1130.97</v>
      </c>
      <c r="U105" s="47">
        <v>200</v>
      </c>
      <c r="V105" s="47">
        <v>1289.46</v>
      </c>
      <c r="W105" s="47">
        <f t="shared" si="60"/>
        <v>2645.4300000000003</v>
      </c>
      <c r="X105" s="47">
        <f t="shared" si="34"/>
        <v>2718.6000000000004</v>
      </c>
      <c r="Y105" s="47">
        <f t="shared" si="41"/>
        <v>6527.4</v>
      </c>
      <c r="Z105" s="47">
        <f t="shared" si="39"/>
        <v>40635.97</v>
      </c>
    </row>
    <row r="106" spans="1:26" s="122" customFormat="1" ht="30.75" thickBot="1">
      <c r="A106" s="46">
        <f t="shared" si="36"/>
        <v>99</v>
      </c>
      <c r="B106" s="48" t="s">
        <v>210</v>
      </c>
      <c r="C106" s="48" t="s">
        <v>35</v>
      </c>
      <c r="D106" s="48" t="s">
        <v>58</v>
      </c>
      <c r="E106" s="48" t="s">
        <v>130</v>
      </c>
      <c r="F106" s="48" t="s">
        <v>40</v>
      </c>
      <c r="G106" s="47">
        <v>30000</v>
      </c>
      <c r="H106" s="47">
        <f t="shared" si="46"/>
        <v>28227</v>
      </c>
      <c r="I106" s="47">
        <f t="shared" si="42"/>
        <v>861</v>
      </c>
      <c r="J106" s="47">
        <f t="shared" si="43"/>
        <v>2130</v>
      </c>
      <c r="K106" s="106">
        <f t="shared" si="44"/>
        <v>330.00000000000006</v>
      </c>
      <c r="L106" s="47">
        <f t="shared" si="61"/>
        <v>912</v>
      </c>
      <c r="M106" s="47">
        <f t="shared" si="37"/>
        <v>2127</v>
      </c>
      <c r="N106" s="47"/>
      <c r="O106" s="47">
        <f t="shared" si="48"/>
        <v>6360</v>
      </c>
      <c r="P106" s="47">
        <v>25</v>
      </c>
      <c r="Q106" s="110">
        <v>0</v>
      </c>
      <c r="R106" s="117"/>
      <c r="S106" s="117"/>
      <c r="T106" s="47">
        <v>0</v>
      </c>
      <c r="U106" s="47">
        <v>200</v>
      </c>
      <c r="V106" s="47">
        <f t="shared" ref="V106" si="62">IF((H106*12)&gt;867123.01,(79776+(((H106*12)-867123.01)*0.25))/12,IF((H106*12)&gt;624329.01,(31216+(((H106*12)-624329.01)*0.2))/12,IF((H106*12)&gt;416220.01,(((H106*12)-416220.01)*0.15)/12,0)))</f>
        <v>0</v>
      </c>
      <c r="W106" s="47">
        <f t="shared" si="60"/>
        <v>225</v>
      </c>
      <c r="X106" s="47">
        <f t="shared" si="34"/>
        <v>1773</v>
      </c>
      <c r="Y106" s="47">
        <f t="shared" si="41"/>
        <v>4257</v>
      </c>
      <c r="Z106" s="47">
        <f t="shared" si="39"/>
        <v>28002</v>
      </c>
    </row>
    <row r="107" spans="1:26" s="55" customFormat="1" ht="16.5" thickBot="1">
      <c r="A107" s="131" t="s">
        <v>174</v>
      </c>
      <c r="B107" s="132"/>
      <c r="C107" s="132"/>
      <c r="D107" s="132"/>
      <c r="E107" s="132"/>
      <c r="F107" s="133"/>
      <c r="G107" s="49">
        <f>SUM(G8:G106)</f>
        <v>6740000</v>
      </c>
      <c r="H107" s="50">
        <f>SUM(H9:H106)</f>
        <v>5949346.6400000062</v>
      </c>
      <c r="I107" s="50">
        <f>SUM(I8:I106)</f>
        <v>193438.00000000032</v>
      </c>
      <c r="J107" s="50">
        <f>SUM(J8:J106)</f>
        <v>478539.99999999994</v>
      </c>
      <c r="K107" s="50">
        <f>SUM(K8:K106)+1376.43</f>
        <v>57072.44</v>
      </c>
      <c r="L107" s="50">
        <f>SUM(L8:L106)+444.97</f>
        <v>196891.36999999982</v>
      </c>
      <c r="M107" s="50">
        <f>SUM(M8:M106)+28054.45</f>
        <v>459197.33000000077</v>
      </c>
      <c r="N107" s="50">
        <f>SUM(N8:N106)</f>
        <v>61432.959999999992</v>
      </c>
      <c r="O107" s="50">
        <f>SUM(O9:O106)</f>
        <v>1357988.4500000002</v>
      </c>
      <c r="P107" s="50">
        <f>SUM(P8:P106)</f>
        <v>2475</v>
      </c>
      <c r="Q107" s="50">
        <f>SUM(Q8:Q106)</f>
        <v>283858.31</v>
      </c>
      <c r="R107" s="50">
        <f>SUM(R9:R106)</f>
        <v>0</v>
      </c>
      <c r="S107" s="50"/>
      <c r="T107" s="50">
        <f>SUM(T8:T106)</f>
        <v>80139.39999999998</v>
      </c>
      <c r="U107" s="50">
        <f>SUM(U8:U106)</f>
        <v>18800</v>
      </c>
      <c r="V107" s="50">
        <f>SUM(V8:V106)</f>
        <v>564172.54</v>
      </c>
      <c r="W107" s="50">
        <f>SUM(W9:W106)</f>
        <v>886203.97000000044</v>
      </c>
      <c r="X107" s="50">
        <f>SUM(X9:X106)</f>
        <v>430653.35999999935</v>
      </c>
      <c r="Y107" s="50">
        <f>SUM(Y9:Y106)</f>
        <v>873546.46000000066</v>
      </c>
      <c r="Z107" s="50">
        <f>SUM(Z8:Z106)</f>
        <v>5345552.21</v>
      </c>
    </row>
    <row r="108" spans="1:26" s="55" customFormat="1" ht="15.75">
      <c r="A108" s="56"/>
      <c r="B108" s="95"/>
      <c r="C108" s="57"/>
      <c r="D108" s="57"/>
      <c r="E108" s="58"/>
      <c r="F108" s="58"/>
      <c r="G108" s="59"/>
      <c r="H108" s="59"/>
      <c r="I108" s="59"/>
      <c r="J108" s="59"/>
      <c r="K108" s="59"/>
      <c r="L108" s="59"/>
      <c r="M108" s="59"/>
      <c r="N108" s="59"/>
      <c r="O108" s="59"/>
      <c r="P108" s="59"/>
      <c r="Q108" s="60"/>
      <c r="R108" s="61"/>
      <c r="S108" s="61"/>
      <c r="T108" s="61"/>
      <c r="U108" s="61"/>
      <c r="V108" s="61"/>
      <c r="W108" s="61"/>
      <c r="X108" s="61"/>
      <c r="Y108" s="61"/>
      <c r="Z108" s="61"/>
    </row>
    <row r="109" spans="1:26" s="66" customFormat="1" ht="17.25">
      <c r="A109" s="62"/>
      <c r="B109" s="96"/>
      <c r="C109" s="63"/>
      <c r="D109" s="64" t="s">
        <v>175</v>
      </c>
      <c r="E109" s="62"/>
      <c r="F109" s="62"/>
      <c r="G109" s="14"/>
      <c r="H109" s="62"/>
      <c r="I109" s="14"/>
      <c r="J109" s="15"/>
      <c r="K109" s="15"/>
      <c r="L109" s="15"/>
      <c r="M109" s="15"/>
      <c r="N109" s="15"/>
      <c r="O109" s="15"/>
      <c r="P109" s="15"/>
      <c r="Q109" s="65"/>
      <c r="R109" s="16"/>
      <c r="S109" s="16"/>
      <c r="T109" s="15"/>
      <c r="U109" s="15"/>
      <c r="V109" s="65"/>
      <c r="W109" s="15"/>
      <c r="X109" s="15"/>
      <c r="Y109" s="65"/>
      <c r="Z109" s="65"/>
    </row>
    <row r="110" spans="1:26" s="66" customFormat="1" ht="17.25">
      <c r="A110" s="62"/>
      <c r="B110" s="97"/>
      <c r="C110" s="63"/>
      <c r="D110" s="67"/>
      <c r="E110" s="68"/>
      <c r="F110" s="68"/>
      <c r="G110" s="14"/>
      <c r="H110" s="62"/>
      <c r="I110" s="15"/>
      <c r="J110" s="15"/>
      <c r="K110" s="15"/>
      <c r="L110" s="15"/>
      <c r="M110" s="15"/>
      <c r="N110" s="15"/>
      <c r="O110" s="15"/>
      <c r="P110" s="15"/>
      <c r="Q110" s="69"/>
      <c r="R110" s="16"/>
      <c r="S110" s="16"/>
      <c r="T110" s="15"/>
      <c r="U110" s="15"/>
      <c r="V110" s="70"/>
      <c r="W110" s="15"/>
      <c r="X110" s="15"/>
      <c r="Y110" s="15"/>
      <c r="Z110" s="15"/>
    </row>
    <row r="111" spans="1:26" s="66" customFormat="1" ht="17.25">
      <c r="A111" s="62"/>
      <c r="B111" s="97"/>
      <c r="C111" s="63"/>
      <c r="D111" s="67"/>
      <c r="E111" s="68"/>
      <c r="F111" s="68"/>
      <c r="G111" s="14"/>
      <c r="H111" s="14"/>
      <c r="I111" s="15"/>
      <c r="J111" s="15"/>
      <c r="K111" s="15"/>
      <c r="L111" s="15"/>
      <c r="M111" s="15"/>
      <c r="N111" s="15"/>
      <c r="O111" s="15"/>
      <c r="P111" s="15"/>
      <c r="Q111" s="69"/>
      <c r="R111" s="16"/>
      <c r="S111" s="16"/>
      <c r="T111" s="15"/>
      <c r="U111" s="15"/>
      <c r="V111" s="15"/>
      <c r="W111" s="15"/>
      <c r="X111" s="15"/>
      <c r="Y111" s="15"/>
      <c r="Z111" s="15"/>
    </row>
    <row r="112" spans="1:26" s="66" customFormat="1" ht="17.25">
      <c r="B112" s="98"/>
      <c r="C112" s="71"/>
      <c r="D112" s="72"/>
      <c r="E112" s="73"/>
      <c r="F112" s="73"/>
      <c r="G112" s="7"/>
      <c r="H112" s="7"/>
      <c r="I112" s="8"/>
      <c r="J112" s="8"/>
      <c r="K112" s="8"/>
      <c r="L112" s="8"/>
      <c r="M112" s="8"/>
      <c r="N112" s="8"/>
      <c r="O112" s="8"/>
      <c r="P112" s="8"/>
      <c r="Q112" s="74"/>
      <c r="R112" s="9"/>
      <c r="S112" s="9"/>
      <c r="T112" s="8">
        <f>+T107-80139.4</f>
        <v>0</v>
      </c>
      <c r="U112" s="8"/>
      <c r="V112" s="15"/>
      <c r="W112" s="8"/>
      <c r="X112" s="8"/>
      <c r="Y112" s="8"/>
      <c r="Z112" s="8"/>
    </row>
    <row r="113" spans="2:26" s="66" customFormat="1" ht="17.25">
      <c r="B113" s="98"/>
      <c r="C113" s="71"/>
      <c r="D113" s="75"/>
      <c r="E113" s="73"/>
      <c r="F113" s="73"/>
      <c r="G113" s="7"/>
      <c r="H113" s="7"/>
      <c r="I113" s="8"/>
      <c r="J113" s="8"/>
      <c r="K113" s="8"/>
      <c r="L113" s="8"/>
      <c r="M113" s="8"/>
      <c r="N113" s="8"/>
      <c r="O113" s="8"/>
      <c r="P113" s="8"/>
      <c r="Q113" s="74"/>
      <c r="R113" s="9"/>
      <c r="S113" s="9"/>
      <c r="T113" s="8"/>
      <c r="U113" s="8"/>
      <c r="V113" s="15"/>
      <c r="W113" s="8"/>
      <c r="X113" s="8"/>
      <c r="Y113" s="8"/>
      <c r="Z113" s="8"/>
    </row>
    <row r="114" spans="2:26" s="66" customFormat="1" ht="17.25">
      <c r="B114" s="99" t="s">
        <v>176</v>
      </c>
      <c r="C114" s="71"/>
      <c r="E114" s="75" t="s">
        <v>177</v>
      </c>
      <c r="F114" s="75"/>
      <c r="G114" s="75"/>
      <c r="H114" s="75"/>
      <c r="I114" s="75"/>
      <c r="J114" s="103"/>
      <c r="K114" s="8"/>
      <c r="L114" s="8"/>
      <c r="M114" s="8"/>
      <c r="N114" s="8"/>
      <c r="O114" s="8"/>
      <c r="P114" s="8"/>
      <c r="Q114" s="74"/>
      <c r="R114" s="9"/>
      <c r="S114" s="9"/>
      <c r="T114" s="8"/>
      <c r="U114" s="8"/>
      <c r="V114" s="15"/>
      <c r="W114" s="8"/>
      <c r="X114" s="8"/>
      <c r="Y114" s="8"/>
      <c r="Z114" s="8"/>
    </row>
    <row r="115" spans="2:26" s="66" customFormat="1" ht="17.25">
      <c r="B115" s="100" t="s">
        <v>178</v>
      </c>
      <c r="C115" s="71"/>
      <c r="E115" s="72" t="s">
        <v>179</v>
      </c>
      <c r="F115" s="72"/>
      <c r="G115" s="72"/>
      <c r="H115" s="72"/>
      <c r="I115" s="72"/>
      <c r="J115" s="72"/>
      <c r="K115" s="8"/>
      <c r="L115" s="8"/>
      <c r="M115" s="8"/>
      <c r="N115" s="8"/>
      <c r="O115" s="8"/>
      <c r="P115" s="8"/>
      <c r="Q115" s="74"/>
      <c r="R115" s="9"/>
      <c r="S115" s="9"/>
      <c r="T115" s="8"/>
      <c r="U115" s="8"/>
      <c r="V115" s="15"/>
      <c r="W115" s="8"/>
      <c r="X115" s="8"/>
      <c r="Y115" s="8"/>
      <c r="Z115" s="8"/>
    </row>
    <row r="116" spans="2:26" s="66" customFormat="1" ht="17.25">
      <c r="B116" s="98"/>
      <c r="C116" s="71"/>
      <c r="D116" s="75"/>
      <c r="E116" s="73"/>
      <c r="F116" s="73"/>
      <c r="G116" s="7"/>
      <c r="H116" s="7"/>
      <c r="I116" s="8"/>
      <c r="J116" s="8"/>
      <c r="K116" s="8"/>
      <c r="L116" s="8"/>
      <c r="M116" s="8"/>
      <c r="N116" s="8"/>
      <c r="O116" s="8"/>
      <c r="P116" s="8"/>
      <c r="Q116" s="74"/>
      <c r="R116" s="9"/>
      <c r="S116" s="9"/>
      <c r="T116" s="8"/>
      <c r="U116" s="8"/>
      <c r="V116" s="15"/>
      <c r="W116" s="8"/>
      <c r="X116" s="8"/>
      <c r="Y116" s="8"/>
      <c r="Z116" s="8"/>
    </row>
    <row r="117" spans="2:26" s="66" customFormat="1" ht="17.25">
      <c r="B117" s="99"/>
      <c r="C117" s="71"/>
      <c r="D117" s="75"/>
      <c r="E117" s="73"/>
      <c r="F117" s="73"/>
      <c r="G117" s="7"/>
      <c r="H117" s="7"/>
      <c r="I117" s="8"/>
      <c r="J117" s="8"/>
      <c r="K117" s="8"/>
      <c r="L117" s="8"/>
      <c r="M117" s="8"/>
      <c r="N117" s="8"/>
      <c r="O117" s="8"/>
      <c r="P117" s="8"/>
      <c r="Q117" s="74"/>
      <c r="R117" s="9"/>
      <c r="S117" s="9"/>
      <c r="T117" s="8"/>
      <c r="U117" s="8"/>
      <c r="V117" s="15"/>
      <c r="W117" s="8"/>
      <c r="X117" s="8"/>
      <c r="Y117" s="8"/>
      <c r="Z117" s="8"/>
    </row>
    <row r="118" spans="2:26" s="66" customFormat="1" ht="17.25">
      <c r="B118" s="99"/>
      <c r="C118" s="71"/>
      <c r="E118" s="73"/>
      <c r="F118" s="73"/>
      <c r="G118" s="7"/>
      <c r="H118" s="7"/>
      <c r="I118" s="8"/>
      <c r="J118" s="8"/>
      <c r="K118" s="8"/>
      <c r="L118" s="8"/>
      <c r="M118" s="8"/>
      <c r="N118" s="8"/>
      <c r="O118" s="8"/>
      <c r="P118" s="8"/>
      <c r="Q118" s="76"/>
      <c r="R118" s="9"/>
      <c r="S118" s="9"/>
      <c r="T118" s="8"/>
      <c r="U118" s="8"/>
      <c r="V118" s="15"/>
      <c r="W118" s="8"/>
      <c r="X118" s="8"/>
      <c r="Y118" s="8"/>
      <c r="Z118" s="8"/>
    </row>
    <row r="119" spans="2:26" s="77" customFormat="1">
      <c r="B119" s="99"/>
      <c r="C119" s="78"/>
      <c r="E119" s="79"/>
      <c r="F119" s="79"/>
      <c r="G119" s="10"/>
      <c r="H119" s="3"/>
      <c r="I119" s="3"/>
      <c r="J119"/>
      <c r="K119"/>
      <c r="L119"/>
      <c r="M119"/>
      <c r="N119"/>
      <c r="O119"/>
      <c r="P119"/>
      <c r="Q119" s="80"/>
      <c r="R119"/>
      <c r="S119"/>
      <c r="T119"/>
      <c r="U119"/>
      <c r="V119" s="81"/>
      <c r="W119"/>
      <c r="X119"/>
      <c r="Y119"/>
      <c r="Z119" s="82"/>
    </row>
    <row r="120" spans="2:26">
      <c r="B120" s="101"/>
      <c r="G120" s="83"/>
      <c r="H120" s="77"/>
      <c r="I120" s="84"/>
      <c r="J120" s="84"/>
      <c r="K120" s="84"/>
      <c r="L120" s="84"/>
      <c r="M120" s="84"/>
      <c r="N120" s="84"/>
      <c r="O120" s="84"/>
      <c r="P120" s="84"/>
      <c r="Q120" s="85"/>
      <c r="R120" s="84"/>
      <c r="S120" s="84"/>
      <c r="T120" s="84"/>
      <c r="U120" s="84"/>
      <c r="V120" s="86"/>
      <c r="W120" s="84"/>
      <c r="X120" s="84"/>
      <c r="Y120" s="84"/>
      <c r="Z120" s="84"/>
    </row>
    <row r="121" spans="2:26">
      <c r="G121" s="83"/>
      <c r="H121" s="77"/>
      <c r="I121" s="84"/>
      <c r="J121" s="84"/>
      <c r="K121" s="84"/>
      <c r="L121" s="84"/>
      <c r="M121" s="84"/>
      <c r="N121" s="84"/>
      <c r="O121" s="84"/>
      <c r="P121" s="84"/>
      <c r="Q121" s="85"/>
      <c r="R121" s="84"/>
      <c r="S121" s="84"/>
      <c r="T121" s="84"/>
      <c r="U121" s="84"/>
      <c r="V121" s="86"/>
      <c r="W121" s="84"/>
      <c r="X121" s="84"/>
      <c r="Y121" s="84"/>
      <c r="Z121" s="84"/>
    </row>
    <row r="122" spans="2:26">
      <c r="G122" s="10"/>
      <c r="I122" s="3"/>
      <c r="J122" s="3"/>
      <c r="K122" s="3"/>
      <c r="L122" s="3"/>
      <c r="M122" s="3"/>
      <c r="N122" s="3"/>
      <c r="O122" s="3"/>
      <c r="P122" s="3"/>
      <c r="Q122" s="87"/>
      <c r="R122" s="3"/>
      <c r="S122" s="3"/>
      <c r="T122" s="3"/>
      <c r="U122" s="3"/>
      <c r="V122" s="60"/>
      <c r="W122" s="3"/>
      <c r="X122" s="3"/>
      <c r="Y122" s="3"/>
      <c r="Z122" s="3"/>
    </row>
    <row r="123" spans="2:26">
      <c r="G123" s="10"/>
      <c r="I123" s="3"/>
      <c r="J123" s="3"/>
      <c r="K123" s="3"/>
      <c r="L123" s="3"/>
      <c r="M123" s="3"/>
      <c r="N123" s="3"/>
      <c r="O123" s="3"/>
      <c r="P123" s="3"/>
      <c r="Q123" s="87"/>
      <c r="R123" s="3"/>
      <c r="S123" s="3"/>
      <c r="T123" s="3"/>
      <c r="U123" s="3"/>
      <c r="V123" s="60"/>
      <c r="W123" s="3"/>
      <c r="X123" s="3"/>
      <c r="Y123" s="3"/>
      <c r="Z123" s="3"/>
    </row>
    <row r="124" spans="2:26">
      <c r="G124" s="10"/>
      <c r="I124" s="3"/>
      <c r="J124" s="3"/>
      <c r="K124" s="3"/>
      <c r="L124" s="3"/>
      <c r="M124" s="3"/>
      <c r="N124" s="3"/>
      <c r="O124" s="3"/>
      <c r="P124" s="3"/>
      <c r="Q124" s="87"/>
      <c r="R124" s="3"/>
      <c r="S124" s="3"/>
      <c r="T124" s="3"/>
      <c r="U124" s="3"/>
      <c r="V124" s="60"/>
      <c r="W124" s="3"/>
      <c r="X124" s="3"/>
      <c r="Y124" s="3"/>
      <c r="Z124" s="3"/>
    </row>
    <row r="125" spans="2:26">
      <c r="G125" s="10"/>
      <c r="I125" s="3"/>
      <c r="J125" s="3"/>
      <c r="K125" s="3"/>
      <c r="L125" s="3"/>
      <c r="M125" s="3"/>
      <c r="N125" s="3"/>
      <c r="O125" s="3"/>
      <c r="P125" s="3"/>
      <c r="Q125" s="87"/>
      <c r="R125" s="3"/>
      <c r="S125" s="3"/>
      <c r="T125" s="3"/>
      <c r="U125" s="3"/>
      <c r="V125" s="60"/>
      <c r="W125" s="3"/>
      <c r="X125" s="3"/>
      <c r="Y125" s="3"/>
      <c r="Z125" s="3"/>
    </row>
    <row r="126" spans="2:26">
      <c r="G126" s="10"/>
      <c r="I126" s="3"/>
      <c r="J126" s="3"/>
      <c r="K126" s="3"/>
      <c r="L126" s="3"/>
      <c r="M126" s="3"/>
      <c r="N126" s="3"/>
      <c r="O126" s="3"/>
      <c r="P126" s="3"/>
      <c r="Q126" s="87"/>
      <c r="R126" s="3"/>
      <c r="S126" s="3"/>
      <c r="T126" s="3"/>
      <c r="U126" s="3"/>
      <c r="V126" s="60"/>
      <c r="W126" s="3"/>
      <c r="X126" s="3"/>
      <c r="Y126" s="3"/>
      <c r="Z126" s="3"/>
    </row>
    <row r="127" spans="2:26">
      <c r="G127" s="10"/>
      <c r="I127" s="3"/>
      <c r="J127" s="3"/>
      <c r="K127" s="3"/>
      <c r="L127" s="3"/>
      <c r="M127" s="3"/>
      <c r="N127" s="3"/>
      <c r="O127" s="3"/>
      <c r="P127" s="3"/>
      <c r="Q127" s="87"/>
      <c r="R127" s="3"/>
      <c r="S127" s="3"/>
      <c r="T127" s="3"/>
      <c r="U127" s="3"/>
      <c r="V127" s="60"/>
      <c r="W127" s="3"/>
      <c r="X127" s="3"/>
      <c r="Y127" s="3"/>
      <c r="Z127" s="3"/>
    </row>
    <row r="128" spans="2:26">
      <c r="G128" s="10"/>
      <c r="I128" s="3"/>
      <c r="J128" s="3"/>
      <c r="K128" s="3"/>
      <c r="L128" s="3"/>
      <c r="M128" s="3"/>
      <c r="N128" s="3"/>
      <c r="O128" s="3"/>
      <c r="P128" s="3"/>
      <c r="Q128" s="87"/>
      <c r="R128" s="3"/>
      <c r="S128" s="3"/>
      <c r="T128" s="3"/>
      <c r="U128" s="3"/>
      <c r="V128" s="60"/>
      <c r="W128" s="3"/>
      <c r="X128" s="3"/>
      <c r="Y128" s="3"/>
      <c r="Z128" s="3"/>
    </row>
    <row r="129" spans="7:26">
      <c r="G129" s="10"/>
      <c r="I129" s="3"/>
      <c r="J129" s="3"/>
      <c r="K129" s="3"/>
      <c r="L129" s="3"/>
      <c r="M129" s="3"/>
      <c r="N129" s="3"/>
      <c r="O129" s="3"/>
      <c r="P129" s="3"/>
      <c r="Q129" s="87"/>
      <c r="R129" s="3"/>
      <c r="S129" s="3"/>
      <c r="T129" s="3"/>
      <c r="U129" s="3"/>
      <c r="V129" s="60"/>
      <c r="W129" s="3"/>
      <c r="X129" s="3"/>
      <c r="Y129" s="3"/>
      <c r="Z129" s="3"/>
    </row>
    <row r="130" spans="7:26">
      <c r="G130" s="12"/>
    </row>
    <row r="131" spans="7:26">
      <c r="G131" s="12"/>
    </row>
    <row r="132" spans="7:26">
      <c r="G132" s="12"/>
    </row>
    <row r="133" spans="7:26">
      <c r="G133" s="12"/>
    </row>
  </sheetData>
  <mergeCells count="11">
    <mergeCell ref="A107:F107"/>
    <mergeCell ref="A4:Z4"/>
    <mergeCell ref="I5:N5"/>
    <mergeCell ref="X5:Y5"/>
    <mergeCell ref="I6:J6"/>
    <mergeCell ref="L6:M6"/>
    <mergeCell ref="X6:X7"/>
    <mergeCell ref="Y6:Y7"/>
    <mergeCell ref="K6:K7"/>
    <mergeCell ref="P5:W5"/>
    <mergeCell ref="C5:C6"/>
  </mergeCells>
  <pageMargins left="0.23622047244094491" right="0.23622047244094491" top="0.74803149606299213" bottom="0.74803149606299213" header="0.31496062992125984" footer="0.31496062992125984"/>
  <pageSetup paperSize="5" scale="53" fitToHeight="0" orientation="landscape" r:id="rId1"/>
  <headerFooter>
    <oddFooter>&amp;L&amp;P/&amp;N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4E2B479DFD448AE0C9C92805B4070" ma:contentTypeVersion="14" ma:contentTypeDescription="Create a new document." ma:contentTypeScope="" ma:versionID="e51336789cf90de195a2beac784e3e28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976ad537c220246f640f2dfadccffed3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5ed9adb-7132-4c8b-ad7a-5e8e5272ece5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437999-6CB4-45E5-9555-93720AC202B7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da0356f3-83b3-42db-a4ea-d0e11b8bbdec"/>
    <ds:schemaRef ds:uri="http://purl.org/dc/dcmitype/"/>
    <ds:schemaRef ds:uri="8dedfef6-c5ba-4a3e-af87-6a55fe944720"/>
  </ds:schemaRefs>
</ds:datastoreItem>
</file>

<file path=customXml/itemProps2.xml><?xml version="1.0" encoding="utf-8"?>
<ds:datastoreItem xmlns:ds="http://schemas.openxmlformats.org/officeDocument/2006/customXml" ds:itemID="{5EF2F82B-C5AF-4D0D-A6C4-60C753A5E7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8F37CD-55F1-4BE0-B51B-D683FC775F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0356f3-83b3-42db-a4ea-d0e11b8bbdec"/>
    <ds:schemaRef ds:uri="8dedfef6-c5ba-4a3e-af87-6a55fe9447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Franchesca Moreno</dc:creator>
  <cp:keywords/>
  <dc:description/>
  <cp:lastModifiedBy>Victor Felipe Arias Garcia</cp:lastModifiedBy>
  <cp:revision/>
  <cp:lastPrinted>2026-05-26T14:39:04Z</cp:lastPrinted>
  <dcterms:created xsi:type="dcterms:W3CDTF">2025-01-30T14:42:21Z</dcterms:created>
  <dcterms:modified xsi:type="dcterms:W3CDTF">2026-05-26T15:25:16Z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  <property fmtid="{D5CDD505-2E9C-101B-9397-08002B2CF9AE}" pid="3" name="MediaServiceImageTags">
    <vt:lpwstr/>
  </property>
</Properties>
</file>